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133" documentId="8_{725FDF81-1055-48E8-B6F0-FAB938B91EE2}" xr6:coauthVersionLast="47" xr6:coauthVersionMax="47" xr10:uidLastSave="{79883C4E-8A63-4477-A6FE-3161DF73F425}"/>
  <bookViews>
    <workbookView xWindow="-24120" yWindow="1140" windowWidth="24240" windowHeight="13020" tabRatio="707" xr2:uid="{120DC0ED-22FC-462E-B919-E1C547F9611B}"/>
  </bookViews>
  <sheets>
    <sheet name="Cover Page" sheetId="44" r:id="rId1"/>
    <sheet name="Table of Contents" sheetId="43" r:id="rId2"/>
    <sheet name="Calculation Summary" sheetId="45" r:id="rId3"/>
    <sheet name="Dashboard" sheetId="31" r:id="rId4"/>
    <sheet name="RR" sheetId="40" r:id="rId5"/>
    <sheet name="Aggregate RR" sheetId="47" r:id="rId6"/>
    <sheet name="Inhalation Exposure" sheetId="37" r:id="rId7"/>
    <sheet name="Dermal Exposure" sheetId="41" r:id="rId8"/>
    <sheet name="Hazard Values" sheetId="39" r:id="rId9"/>
    <sheet name="List Values" sheetId="35" r:id="rId10"/>
    <sheet name="Exposure Factors" sheetId="38" r:id="rId11"/>
  </sheets>
  <definedNames>
    <definedName name="_8_hr">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localSheetId="2" hidden="1">100</definedName>
    <definedName name="_AtRisk_SimSetting_ConvergenceTestingPeriod" hidden="1">10</definedName>
    <definedName name="_AtRisk_SimSetting_ConvergenceTolerance" localSheetId="2" hidden="1">0.03</definedName>
    <definedName name="_AtRisk_SimSetting_ConvergenceTolerance" hidden="1">0.01</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8</definedName>
    <definedName name="_AtRisk_SimSetting_MultipleCPUManualCount" hidden="1">8</definedName>
    <definedName name="_AtRisk_SimSetting_MultipleCPUMode" hidden="1">2</definedName>
    <definedName name="_AtRisk_SimSetting_MultipleCPUModeV8" hidden="1">2</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0</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15</definedName>
    <definedName name="_AtRisk_SimSetting_ReportOptionReportsFileType" hidden="1">1</definedName>
    <definedName name="_AtRisk_SimSetting_ReportOptionSelectiveQR" hidden="1">FALSE</definedName>
    <definedName name="_AtRisk_SimSetting_ReportsList" hidden="1">15</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5" hidden="1">'Aggregate RR'!$A$17:$Z$41</definedName>
    <definedName name="_xlnm._FilterDatabase" localSheetId="9" hidden="1">'List Values'!$B$1:$B$18</definedName>
    <definedName name="AH1_cm2">'Exposure Factors'!$C$5</definedName>
    <definedName name="AH1_cm2_F">'Exposure Factors'!$D$5</definedName>
    <definedName name="AH2_cm2">'Exposure Factors'!$C$6</definedName>
    <definedName name="AH2_cm2_F">'Exposure Factors'!$D$6</definedName>
    <definedName name="AT">'List Values'!$H$12</definedName>
    <definedName name="AT_AC">'List Values'!$J$42</definedName>
    <definedName name="AT_ADC_high">'List Values'!$H$20</definedName>
    <definedName name="AT_ADC_mid">'List Values'!$H$19</definedName>
    <definedName name="AT_LADC">'List Values'!$H$21</definedName>
    <definedName name="BW_default">'Exposure Factors'!$C$4</definedName>
    <definedName name="BW_F">'Exposure Factors'!$D$4</definedName>
    <definedName name="ED_10">'List Values'!$H$11</definedName>
    <definedName name="ED_8">'List Values'!$H$10</definedName>
    <definedName name="EF">'List Values'!$H$13</definedName>
    <definedName name="EFID">'List Values'!$H$14</definedName>
    <definedName name="ID">'List Values'!$H$15</definedName>
    <definedName name="LT">'List Values'!$H$18</definedName>
    <definedName name="Mol_Vol">'List Values'!$G$7</definedName>
    <definedName name="MW">'List Values'!$G$6</definedName>
    <definedName name="Pal_Workbook_GUID" hidden="1">"QFFA8IQU6YFGRFCXE7L4LIWR"</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localSheetId="2" hidden="1">8</definedName>
    <definedName name="RiskHasSettings" hidden="1">6</definedName>
    <definedName name="RiskMinimizeOnStart" hidden="1">FALSE</definedName>
    <definedName name="RiskMonitorConvergence" hidden="1">FALSE</definedName>
    <definedName name="RiskMultipleCPUSupportEnabled" localSheetId="2" hidden="1">FALSE</definedName>
    <definedName name="RiskMultipleCPUSupportEnabled" hidden="1">TRUE</definedName>
    <definedName name="RiskNumIterations" localSheetId="2" hidden="1">100000</definedName>
    <definedName name="RiskNumIterations" hidden="1">1000000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localSheetId="2" hidden="1">FALSE</definedName>
    <definedName name="RiskUseMultipleCPUs" hidden="1">TRUE</definedName>
    <definedName name="solver_adj" localSheetId="5" hidden="1">'Aggregate RR'!#REF!</definedName>
    <definedName name="solver_adj" localSheetId="4" hidden="1">RR!#REF!</definedName>
    <definedName name="solver_cvg" localSheetId="5" hidden="1">0.0001</definedName>
    <definedName name="solver_cvg" localSheetId="4" hidden="1">0.0001</definedName>
    <definedName name="solver_drv" localSheetId="5" hidden="1">1</definedName>
    <definedName name="solver_drv" localSheetId="4" hidden="1">1</definedName>
    <definedName name="solver_eng" localSheetId="5" hidden="1">1</definedName>
    <definedName name="solver_eng" localSheetId="4" hidden="1">1</definedName>
    <definedName name="solver_est" localSheetId="5" hidden="1">1</definedName>
    <definedName name="solver_est" localSheetId="4" hidden="1">1</definedName>
    <definedName name="solver_itr" localSheetId="5" hidden="1">2147483647</definedName>
    <definedName name="solver_itr" localSheetId="4" hidden="1">2147483647</definedName>
    <definedName name="solver_mip" localSheetId="5" hidden="1">2147483647</definedName>
    <definedName name="solver_mip" localSheetId="4" hidden="1">2147483647</definedName>
    <definedName name="solver_mni" localSheetId="5" hidden="1">30</definedName>
    <definedName name="solver_mni" localSheetId="4" hidden="1">30</definedName>
    <definedName name="solver_mrt" localSheetId="5" hidden="1">0.075</definedName>
    <definedName name="solver_mrt" localSheetId="4" hidden="1">0.075</definedName>
    <definedName name="solver_msl" localSheetId="5" hidden="1">2</definedName>
    <definedName name="solver_msl" localSheetId="4" hidden="1">2</definedName>
    <definedName name="solver_neg" localSheetId="5" hidden="1">1</definedName>
    <definedName name="solver_neg" localSheetId="4" hidden="1">1</definedName>
    <definedName name="solver_nod" localSheetId="5" hidden="1">2147483647</definedName>
    <definedName name="solver_nod" localSheetId="4" hidden="1">2147483647</definedName>
    <definedName name="solver_num" localSheetId="5" hidden="1">0</definedName>
    <definedName name="solver_num" localSheetId="4" hidden="1">0</definedName>
    <definedName name="solver_nwt" localSheetId="5" hidden="1">1</definedName>
    <definedName name="solver_nwt" localSheetId="4" hidden="1">1</definedName>
    <definedName name="solver_opt" localSheetId="5" hidden="1">'Aggregate RR'!#REF!</definedName>
    <definedName name="solver_opt" localSheetId="4" hidden="1">RR!#REF!</definedName>
    <definedName name="solver_pre" localSheetId="5" hidden="1">0.000001</definedName>
    <definedName name="solver_pre" localSheetId="4" hidden="1">0.000001</definedName>
    <definedName name="solver_rbv" localSheetId="5" hidden="1">1</definedName>
    <definedName name="solver_rbv" localSheetId="4" hidden="1">1</definedName>
    <definedName name="solver_rlx" localSheetId="5" hidden="1">2</definedName>
    <definedName name="solver_rlx" localSheetId="4" hidden="1">2</definedName>
    <definedName name="solver_rsd" localSheetId="5" hidden="1">0</definedName>
    <definedName name="solver_rsd" localSheetId="4" hidden="1">0</definedName>
    <definedName name="solver_scl" localSheetId="5" hidden="1">1</definedName>
    <definedName name="solver_scl" localSheetId="4" hidden="1">1</definedName>
    <definedName name="solver_sho" localSheetId="5" hidden="1">2</definedName>
    <definedName name="solver_sho" localSheetId="4" hidden="1">2</definedName>
    <definedName name="solver_ssz" localSheetId="5" hidden="1">100</definedName>
    <definedName name="solver_ssz" localSheetId="4" hidden="1">100</definedName>
    <definedName name="solver_tim" localSheetId="5" hidden="1">2147483647</definedName>
    <definedName name="solver_tim" localSheetId="4" hidden="1">2147483647</definedName>
    <definedName name="solver_tol" localSheetId="5" hidden="1">0.01</definedName>
    <definedName name="solver_tol" localSheetId="4" hidden="1">0.01</definedName>
    <definedName name="solver_typ" localSheetId="5" hidden="1">3</definedName>
    <definedName name="solver_typ" localSheetId="4" hidden="1">3</definedName>
    <definedName name="solver_val" localSheetId="5" hidden="1">1</definedName>
    <definedName name="solver_val" localSheetId="4" hidden="1">1</definedName>
    <definedName name="solver_ver" localSheetId="5" hidden="1">3</definedName>
    <definedName name="solver_ver" localSheetId="4" hidden="1">3</definedName>
    <definedName name="WorkBreathRate">'Exposure Factors'!$C$10</definedName>
    <definedName name="WY_high">'List Values'!$H$17</definedName>
    <definedName name="WY_mid">'List Values'!$H$16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7" i="47" l="1"/>
  <c r="P17" i="47"/>
  <c r="O17" i="47"/>
  <c r="N17" i="47"/>
  <c r="P19" i="40"/>
  <c r="P20" i="40"/>
  <c r="P21" i="40"/>
  <c r="P22" i="40"/>
  <c r="P23" i="40"/>
  <c r="P24" i="40"/>
  <c r="P18" i="40"/>
  <c r="O18" i="40"/>
  <c r="N18" i="40"/>
  <c r="M18" i="40"/>
  <c r="Z26" i="31"/>
  <c r="Z21" i="31"/>
  <c r="Z16" i="31"/>
  <c r="M5" i="37"/>
  <c r="L5" i="37"/>
  <c r="L20" i="37" l="1"/>
  <c r="K4" i="41"/>
  <c r="K5" i="41"/>
  <c r="K6" i="41"/>
  <c r="K7" i="41"/>
  <c r="K8" i="41"/>
  <c r="K9" i="41"/>
  <c r="K10" i="41"/>
  <c r="K11" i="41"/>
  <c r="K12" i="41"/>
  <c r="K13" i="41"/>
  <c r="K14" i="41"/>
  <c r="K15" i="41"/>
  <c r="K16" i="41"/>
  <c r="K17" i="41"/>
  <c r="K18" i="41"/>
  <c r="K19" i="41"/>
  <c r="K20" i="41"/>
  <c r="K21" i="41"/>
  <c r="K22" i="41"/>
  <c r="K23" i="41"/>
  <c r="K24" i="41"/>
  <c r="K25" i="41"/>
  <c r="K26" i="41"/>
  <c r="K27" i="41"/>
  <c r="K28" i="41"/>
  <c r="K29" i="41"/>
  <c r="K30" i="41"/>
  <c r="K31" i="41"/>
  <c r="K32" i="41"/>
  <c r="K33" i="41"/>
  <c r="K34" i="41"/>
  <c r="K35" i="41"/>
  <c r="K36" i="41"/>
  <c r="K37" i="41"/>
  <c r="K38" i="41"/>
  <c r="K39" i="41"/>
  <c r="K40" i="41"/>
  <c r="K41" i="41"/>
  <c r="K42" i="41"/>
  <c r="K43" i="41"/>
  <c r="K44" i="41"/>
  <c r="K45" i="41"/>
  <c r="K46" i="41"/>
  <c r="K47" i="41"/>
  <c r="K48" i="41"/>
  <c r="K49" i="41"/>
  <c r="K50" i="41"/>
  <c r="K51" i="41"/>
  <c r="K52" i="41"/>
  <c r="K53" i="41"/>
  <c r="K54" i="41"/>
  <c r="K55" i="41"/>
  <c r="J4" i="41"/>
  <c r="J5" i="41"/>
  <c r="J6" i="41"/>
  <c r="J7" i="41"/>
  <c r="J8" i="41"/>
  <c r="J9" i="41"/>
  <c r="J10" i="41"/>
  <c r="J11" i="41"/>
  <c r="J12" i="41"/>
  <c r="J13" i="41"/>
  <c r="J14" i="41"/>
  <c r="J15" i="41"/>
  <c r="J16" i="41"/>
  <c r="J17" i="41"/>
  <c r="J18" i="41"/>
  <c r="J19" i="41"/>
  <c r="J20" i="41"/>
  <c r="J21" i="41"/>
  <c r="J22" i="41"/>
  <c r="J23" i="41"/>
  <c r="J24" i="41"/>
  <c r="J25" i="41"/>
  <c r="J26" i="41"/>
  <c r="J27" i="41"/>
  <c r="J28" i="41"/>
  <c r="J29" i="41"/>
  <c r="J30" i="41"/>
  <c r="J31" i="41"/>
  <c r="J32" i="41"/>
  <c r="J33" i="41"/>
  <c r="J34" i="41"/>
  <c r="J35" i="41"/>
  <c r="J36" i="41"/>
  <c r="J37" i="41"/>
  <c r="J38" i="41"/>
  <c r="J39" i="41"/>
  <c r="J40" i="41"/>
  <c r="J41" i="41"/>
  <c r="J42" i="41"/>
  <c r="J43" i="41"/>
  <c r="J44" i="41"/>
  <c r="J45" i="41"/>
  <c r="J46" i="41"/>
  <c r="J47" i="41"/>
  <c r="J48" i="41"/>
  <c r="J49" i="41"/>
  <c r="J50" i="41"/>
  <c r="J51" i="41"/>
  <c r="J52" i="41"/>
  <c r="J53" i="41"/>
  <c r="J54" i="41"/>
  <c r="J55" i="41"/>
  <c r="N9" i="41" l="1"/>
  <c r="M9" i="41"/>
  <c r="O9" i="41"/>
  <c r="L18" i="41"/>
  <c r="M18" i="41"/>
  <c r="O18" i="41"/>
  <c r="O15" i="41"/>
  <c r="L15" i="41"/>
  <c r="M15" i="41"/>
  <c r="N15" i="41"/>
  <c r="M12" i="41"/>
  <c r="L12" i="41"/>
  <c r="N12" i="41"/>
  <c r="L6" i="41"/>
  <c r="M6" i="41"/>
  <c r="N6" i="41"/>
  <c r="O12" i="41" l="1"/>
  <c r="L9" i="41"/>
  <c r="O6" i="41"/>
  <c r="N18" i="41"/>
  <c r="S10" i="40"/>
  <c r="I10" i="40"/>
  <c r="S10" i="31"/>
  <c r="C10" i="31"/>
  <c r="L17" i="37"/>
  <c r="N17" i="37" s="1"/>
  <c r="L18" i="37"/>
  <c r="N18" i="37" s="1"/>
  <c r="L19" i="37"/>
  <c r="M17" i="37"/>
  <c r="Q17" i="37" s="1"/>
  <c r="M18" i="37"/>
  <c r="M19" i="37"/>
  <c r="L16" i="41"/>
  <c r="L17" i="41"/>
  <c r="N8" i="41"/>
  <c r="N11" i="41"/>
  <c r="N13" i="41"/>
  <c r="N14" i="41"/>
  <c r="N19" i="41"/>
  <c r="N20" i="41"/>
  <c r="N28" i="41"/>
  <c r="N29" i="41"/>
  <c r="N30" i="41"/>
  <c r="N31" i="41"/>
  <c r="N32" i="41"/>
  <c r="N33" i="41"/>
  <c r="N35" i="41"/>
  <c r="L37" i="41"/>
  <c r="N38" i="41"/>
  <c r="N39" i="41"/>
  <c r="N40" i="41"/>
  <c r="N41" i="41"/>
  <c r="L42" i="41"/>
  <c r="N43" i="41"/>
  <c r="N44" i="41"/>
  <c r="N45" i="41"/>
  <c r="N46" i="41"/>
  <c r="N47" i="41"/>
  <c r="N49" i="41"/>
  <c r="N50" i="41"/>
  <c r="L51" i="41"/>
  <c r="N53" i="41"/>
  <c r="N54" i="41"/>
  <c r="N5" i="41"/>
  <c r="L6" i="37"/>
  <c r="L7" i="37"/>
  <c r="N7" i="37" s="1"/>
  <c r="L8" i="37"/>
  <c r="L9" i="37"/>
  <c r="N9" i="37" s="1"/>
  <c r="L10" i="37"/>
  <c r="P10" i="37" s="1"/>
  <c r="L11" i="37"/>
  <c r="L12" i="37"/>
  <c r="L13" i="37"/>
  <c r="L14" i="37"/>
  <c r="L15" i="37"/>
  <c r="N15" i="37" s="1"/>
  <c r="L16" i="37"/>
  <c r="P16" i="37" s="1"/>
  <c r="N20" i="37"/>
  <c r="L21" i="37"/>
  <c r="P21" i="37" s="1"/>
  <c r="L22" i="37"/>
  <c r="L23" i="37"/>
  <c r="L24" i="37"/>
  <c r="N24" i="37" s="1"/>
  <c r="L25" i="37"/>
  <c r="L26" i="37"/>
  <c r="L27" i="37"/>
  <c r="P27" i="37" s="1"/>
  <c r="L28" i="37"/>
  <c r="N28" i="37" s="1"/>
  <c r="L29" i="37"/>
  <c r="P29" i="37" s="1"/>
  <c r="L30" i="37"/>
  <c r="L31" i="37"/>
  <c r="L32" i="37"/>
  <c r="N32" i="37" s="1"/>
  <c r="L33" i="37"/>
  <c r="L34" i="37"/>
  <c r="P34" i="37" s="1"/>
  <c r="L35" i="37"/>
  <c r="P35" i="37" s="1"/>
  <c r="L36" i="37"/>
  <c r="P36" i="37" s="1"/>
  <c r="L37" i="37"/>
  <c r="P37" i="37" s="1"/>
  <c r="L38" i="37"/>
  <c r="L39" i="37"/>
  <c r="L40" i="37"/>
  <c r="L41" i="37"/>
  <c r="L42" i="37"/>
  <c r="L43" i="37"/>
  <c r="L44" i="37"/>
  <c r="P44" i="37" s="1"/>
  <c r="L45" i="37"/>
  <c r="L46" i="37"/>
  <c r="L47" i="37"/>
  <c r="L48" i="37"/>
  <c r="N48" i="37" s="1"/>
  <c r="L49" i="37"/>
  <c r="L50" i="37"/>
  <c r="P50" i="37" s="1"/>
  <c r="L51" i="37"/>
  <c r="L52" i="37"/>
  <c r="P52" i="37" s="1"/>
  <c r="L53" i="37"/>
  <c r="L54" i="37"/>
  <c r="L55" i="37"/>
  <c r="L56" i="37"/>
  <c r="N56" i="37" s="1"/>
  <c r="L57" i="37"/>
  <c r="L58" i="37"/>
  <c r="M8" i="37"/>
  <c r="O8" i="37" s="1"/>
  <c r="M9" i="37"/>
  <c r="Q9" i="37" s="1"/>
  <c r="M10" i="37"/>
  <c r="M11" i="37"/>
  <c r="Q11" i="37" s="1"/>
  <c r="M12" i="37"/>
  <c r="Q12" i="37" s="1"/>
  <c r="M13" i="37"/>
  <c r="O13" i="37" s="1"/>
  <c r="M14" i="37"/>
  <c r="M15" i="37"/>
  <c r="Q15" i="37" s="1"/>
  <c r="M16" i="37"/>
  <c r="O16" i="37" s="1"/>
  <c r="M20" i="37"/>
  <c r="M21" i="37"/>
  <c r="M22" i="37"/>
  <c r="Q22" i="37" s="1"/>
  <c r="M23" i="37"/>
  <c r="M24" i="37"/>
  <c r="M25" i="37"/>
  <c r="M26" i="37"/>
  <c r="Q26" i="37" s="1"/>
  <c r="M27" i="37"/>
  <c r="O27" i="37" s="1"/>
  <c r="M28" i="37"/>
  <c r="Q28" i="37" s="1"/>
  <c r="M29" i="37"/>
  <c r="M30" i="37"/>
  <c r="Q30" i="37" s="1"/>
  <c r="M31" i="37"/>
  <c r="Q31" i="37" s="1"/>
  <c r="M32" i="37"/>
  <c r="M33" i="37"/>
  <c r="M34" i="37"/>
  <c r="Q34" i="37" s="1"/>
  <c r="M35" i="37"/>
  <c r="O35" i="37" s="1"/>
  <c r="M36" i="37"/>
  <c r="Q36" i="37" s="1"/>
  <c r="M37" i="37"/>
  <c r="M38" i="37"/>
  <c r="M39" i="37"/>
  <c r="M40" i="37"/>
  <c r="Q40" i="37" s="1"/>
  <c r="M41" i="37"/>
  <c r="M42" i="37"/>
  <c r="Q42" i="37" s="1"/>
  <c r="M43" i="37"/>
  <c r="O43" i="37" s="1"/>
  <c r="M44" i="37"/>
  <c r="Q44" i="37" s="1"/>
  <c r="M45" i="37"/>
  <c r="Q45" i="37" s="1"/>
  <c r="M46" i="37"/>
  <c r="M47" i="37"/>
  <c r="M48" i="37"/>
  <c r="Q48" i="37" s="1"/>
  <c r="M49" i="37"/>
  <c r="M50" i="37"/>
  <c r="Q50" i="37" s="1"/>
  <c r="M51" i="37"/>
  <c r="O51" i="37" s="1"/>
  <c r="M52" i="37"/>
  <c r="Q52" i="37" s="1"/>
  <c r="M53" i="37"/>
  <c r="Q53" i="37" s="1"/>
  <c r="M54" i="37"/>
  <c r="M55" i="37"/>
  <c r="M56" i="37"/>
  <c r="M57" i="37"/>
  <c r="M58" i="37"/>
  <c r="M6" i="37"/>
  <c r="Q6" i="37" s="1"/>
  <c r="M7" i="37"/>
  <c r="Q7" i="37" s="1"/>
  <c r="Q37" i="37"/>
  <c r="Q23" i="37"/>
  <c r="N5" i="37"/>
  <c r="N13" i="37"/>
  <c r="N40" i="37"/>
  <c r="Q56" i="37" l="1"/>
  <c r="P8" i="37"/>
  <c r="Q20" i="37"/>
  <c r="N27" i="41"/>
  <c r="N25" i="41"/>
  <c r="M53" i="41"/>
  <c r="O52" i="41"/>
  <c r="O51" i="41"/>
  <c r="O50" i="41"/>
  <c r="M45" i="41"/>
  <c r="O44" i="41"/>
  <c r="O43" i="41"/>
  <c r="O42" i="41"/>
  <c r="M40" i="41"/>
  <c r="O38" i="41"/>
  <c r="O37" i="41"/>
  <c r="O36" i="41"/>
  <c r="M33" i="41"/>
  <c r="O31" i="41"/>
  <c r="O30" i="41"/>
  <c r="O28" i="41"/>
  <c r="O25" i="41"/>
  <c r="O23" i="41"/>
  <c r="O22" i="41"/>
  <c r="O20" i="41"/>
  <c r="O14" i="41"/>
  <c r="O11" i="41"/>
  <c r="O10" i="41"/>
  <c r="O4" i="41"/>
  <c r="O17" i="41"/>
  <c r="M16" i="41"/>
  <c r="W10" i="40"/>
  <c r="M12" i="31"/>
  <c r="U11" i="40"/>
  <c r="M13" i="31"/>
  <c r="U10" i="40"/>
  <c r="O46" i="37"/>
  <c r="P54" i="37"/>
  <c r="P22" i="37"/>
  <c r="Q38" i="37"/>
  <c r="P30" i="37"/>
  <c r="O54" i="37"/>
  <c r="P46" i="37"/>
  <c r="P11" i="37"/>
  <c r="P17" i="37"/>
  <c r="Q18" i="37"/>
  <c r="O18" i="37"/>
  <c r="O17" i="37"/>
  <c r="O19" i="37"/>
  <c r="N19" i="37"/>
  <c r="Q19" i="37"/>
  <c r="P19" i="37"/>
  <c r="N33" i="37"/>
  <c r="N25" i="37"/>
  <c r="N14" i="37"/>
  <c r="N6" i="37"/>
  <c r="P18" i="37"/>
  <c r="P39" i="37"/>
  <c r="Q55" i="37"/>
  <c r="Q47" i="37"/>
  <c r="Q33" i="37"/>
  <c r="Q25" i="37"/>
  <c r="Q14" i="37"/>
  <c r="P41" i="37"/>
  <c r="P57" i="37"/>
  <c r="P49" i="37"/>
  <c r="Q41" i="37"/>
  <c r="N10" i="41"/>
  <c r="O16" i="41"/>
  <c r="N17" i="41"/>
  <c r="N22" i="41"/>
  <c r="N16" i="41"/>
  <c r="M25" i="41"/>
  <c r="O55" i="41"/>
  <c r="O5" i="41"/>
  <c r="M19" i="41"/>
  <c r="M8" i="41"/>
  <c r="M49" i="41"/>
  <c r="M42" i="41"/>
  <c r="O49" i="41"/>
  <c r="M17" i="41"/>
  <c r="M35" i="41"/>
  <c r="O35" i="41"/>
  <c r="M27" i="41"/>
  <c r="O8" i="41"/>
  <c r="N34" i="41"/>
  <c r="M26" i="41"/>
  <c r="M48" i="41"/>
  <c r="M41" i="41"/>
  <c r="M7" i="41"/>
  <c r="N26" i="41"/>
  <c r="N48" i="41"/>
  <c r="M34" i="41"/>
  <c r="N7" i="41"/>
  <c r="M55" i="41"/>
  <c r="M47" i="41"/>
  <c r="M14" i="41"/>
  <c r="N36" i="41"/>
  <c r="O47" i="41"/>
  <c r="O21" i="41"/>
  <c r="O29" i="41"/>
  <c r="N21" i="41"/>
  <c r="O54" i="41"/>
  <c r="N4" i="41"/>
  <c r="N24" i="41"/>
  <c r="O32" i="41"/>
  <c r="N23" i="41"/>
  <c r="O46" i="41"/>
  <c r="O13" i="41"/>
  <c r="O39" i="41"/>
  <c r="O24" i="41"/>
  <c r="O45" i="41"/>
  <c r="O53" i="41"/>
  <c r="N55" i="41"/>
  <c r="N51" i="41"/>
  <c r="N37" i="41"/>
  <c r="L49" i="41"/>
  <c r="N42" i="41"/>
  <c r="L35" i="41"/>
  <c r="M23" i="41"/>
  <c r="O40" i="41"/>
  <c r="L27" i="41"/>
  <c r="O33" i="41"/>
  <c r="L21" i="41"/>
  <c r="O27" i="41"/>
  <c r="L29" i="41"/>
  <c r="L19" i="41"/>
  <c r="L10" i="41"/>
  <c r="O19" i="41"/>
  <c r="L8" i="41"/>
  <c r="M31" i="41"/>
  <c r="L50" i="41"/>
  <c r="L43" i="41"/>
  <c r="L36" i="41"/>
  <c r="L28" i="41"/>
  <c r="L20" i="41"/>
  <c r="M54" i="41"/>
  <c r="M46" i="41"/>
  <c r="M39" i="41"/>
  <c r="M32" i="41"/>
  <c r="M24" i="41"/>
  <c r="M13" i="41"/>
  <c r="M5" i="41"/>
  <c r="O48" i="41"/>
  <c r="O41" i="41"/>
  <c r="O34" i="41"/>
  <c r="O26" i="41"/>
  <c r="O7" i="41"/>
  <c r="L48" i="41"/>
  <c r="L41" i="41"/>
  <c r="L34" i="41"/>
  <c r="L26" i="41"/>
  <c r="L7" i="41"/>
  <c r="M52" i="41"/>
  <c r="M44" i="41"/>
  <c r="M38" i="41"/>
  <c r="M30" i="41"/>
  <c r="M22" i="41"/>
  <c r="M11" i="41"/>
  <c r="L55" i="41"/>
  <c r="L47" i="41"/>
  <c r="L40" i="41"/>
  <c r="L33" i="41"/>
  <c r="L25" i="41"/>
  <c r="L14" i="41"/>
  <c r="M51" i="41"/>
  <c r="M37" i="41"/>
  <c r="M29" i="41"/>
  <c r="M21" i="41"/>
  <c r="M10" i="41"/>
  <c r="L54" i="41"/>
  <c r="L46" i="41"/>
  <c r="L39" i="41"/>
  <c r="L32" i="41"/>
  <c r="L24" i="41"/>
  <c r="L13" i="41"/>
  <c r="L5" i="41"/>
  <c r="M50" i="41"/>
  <c r="M43" i="41"/>
  <c r="M36" i="41"/>
  <c r="M28" i="41"/>
  <c r="M20" i="41"/>
  <c r="L53" i="41"/>
  <c r="L45" i="41"/>
  <c r="L31" i="41"/>
  <c r="L23" i="41"/>
  <c r="L4" i="41"/>
  <c r="L52" i="41"/>
  <c r="L44" i="41"/>
  <c r="L38" i="41"/>
  <c r="L30" i="41"/>
  <c r="L22" i="41"/>
  <c r="L11" i="41"/>
  <c r="M4" i="41"/>
  <c r="N52" i="41"/>
  <c r="N35" i="37"/>
  <c r="O53" i="37"/>
  <c r="P28" i="37"/>
  <c r="O25" i="37"/>
  <c r="Q13" i="37"/>
  <c r="O20" i="37"/>
  <c r="P7" i="37"/>
  <c r="N50" i="37"/>
  <c r="N34" i="37"/>
  <c r="O45" i="37"/>
  <c r="O24" i="37"/>
  <c r="P48" i="37"/>
  <c r="P56" i="37"/>
  <c r="N49" i="37"/>
  <c r="N27" i="37"/>
  <c r="N26" i="37"/>
  <c r="O37" i="37"/>
  <c r="O14" i="37"/>
  <c r="P15" i="37"/>
  <c r="Q24" i="37"/>
  <c r="P42" i="37"/>
  <c r="N42" i="37"/>
  <c r="N16" i="37"/>
  <c r="O36" i="37"/>
  <c r="P9" i="37"/>
  <c r="N58" i="37"/>
  <c r="N41" i="37"/>
  <c r="O33" i="37"/>
  <c r="O9" i="37"/>
  <c r="N51" i="37"/>
  <c r="N57" i="37"/>
  <c r="N39" i="37"/>
  <c r="N8" i="37"/>
  <c r="O32" i="37"/>
  <c r="O6" i="37"/>
  <c r="P26" i="37"/>
  <c r="Q32" i="37"/>
  <c r="P38" i="37"/>
  <c r="Q46" i="37"/>
  <c r="Q54" i="37"/>
  <c r="O41" i="37"/>
  <c r="N38" i="37"/>
  <c r="O28" i="37"/>
  <c r="P20" i="37"/>
  <c r="N47" i="37"/>
  <c r="N23" i="37"/>
  <c r="O57" i="37"/>
  <c r="O49" i="37"/>
  <c r="N11" i="37"/>
  <c r="O48" i="37"/>
  <c r="N53" i="37"/>
  <c r="N45" i="37"/>
  <c r="N37" i="37"/>
  <c r="N29" i="37"/>
  <c r="N21" i="37"/>
  <c r="N10" i="37"/>
  <c r="O55" i="37"/>
  <c r="O47" i="37"/>
  <c r="O39" i="37"/>
  <c r="O31" i="37"/>
  <c r="O23" i="37"/>
  <c r="O12" i="37"/>
  <c r="P6" i="37"/>
  <c r="P12" i="37"/>
  <c r="P14" i="37"/>
  <c r="P23" i="37"/>
  <c r="P25" i="37"/>
  <c r="P31" i="37"/>
  <c r="P33" i="37"/>
  <c r="P43" i="37"/>
  <c r="P45" i="37"/>
  <c r="P47" i="37"/>
  <c r="P51" i="37"/>
  <c r="P53" i="37"/>
  <c r="P55" i="37"/>
  <c r="O52" i="37"/>
  <c r="N55" i="37"/>
  <c r="N31" i="37"/>
  <c r="N12" i="37"/>
  <c r="N54" i="37"/>
  <c r="N46" i="37"/>
  <c r="N30" i="37"/>
  <c r="N22" i="37"/>
  <c r="O56" i="37"/>
  <c r="O40" i="37"/>
  <c r="N52" i="37"/>
  <c r="N44" i="37"/>
  <c r="N36" i="37"/>
  <c r="O38" i="37"/>
  <c r="O30" i="37"/>
  <c r="O22" i="37"/>
  <c r="O11" i="37"/>
  <c r="Q8" i="37"/>
  <c r="Q10" i="37"/>
  <c r="Q16" i="37"/>
  <c r="Q21" i="37"/>
  <c r="Q27" i="37"/>
  <c r="Q29" i="37"/>
  <c r="Q35" i="37"/>
  <c r="Q39" i="37"/>
  <c r="Q43" i="37"/>
  <c r="Q49" i="37"/>
  <c r="Q51" i="37"/>
  <c r="Q57" i="37"/>
  <c r="N43" i="37"/>
  <c r="O29" i="37"/>
  <c r="O21" i="37"/>
  <c r="O10" i="37"/>
  <c r="O44" i="37"/>
  <c r="P13" i="37"/>
  <c r="P24" i="37"/>
  <c r="P32" i="37"/>
  <c r="P40" i="37"/>
  <c r="P58" i="37"/>
  <c r="O58" i="37"/>
  <c r="O50" i="37"/>
  <c r="O42" i="37"/>
  <c r="O34" i="37"/>
  <c r="O26" i="37"/>
  <c r="O15" i="37"/>
  <c r="O7" i="37"/>
  <c r="Q58" i="37"/>
  <c r="W11" i="40" l="1"/>
  <c r="N12" i="31"/>
  <c r="O12" i="31"/>
  <c r="O13" i="31"/>
  <c r="N13" i="31"/>
  <c r="V10" i="40"/>
  <c r="V11" i="40"/>
  <c r="N15" i="39" l="1"/>
  <c r="P5" i="37" l="1"/>
  <c r="Q5" i="37" l="1"/>
  <c r="K10" i="31" l="1"/>
  <c r="O11" i="31" l="1"/>
  <c r="N11" i="31"/>
  <c r="M11" i="31"/>
  <c r="N10" i="31"/>
  <c r="O10" i="31"/>
  <c r="M10" i="31"/>
  <c r="J19" i="40" l="1"/>
  <c r="J20" i="40"/>
  <c r="J21" i="40"/>
  <c r="J22" i="40"/>
  <c r="J23" i="40"/>
  <c r="J24" i="40"/>
  <c r="L6" i="47"/>
  <c r="K15" i="47"/>
  <c r="K41" i="47"/>
  <c r="K40" i="47"/>
  <c r="K39" i="47"/>
  <c r="K37" i="47"/>
  <c r="K36" i="47"/>
  <c r="K35" i="47"/>
  <c r="K33" i="47"/>
  <c r="K32" i="47"/>
  <c r="K31" i="47"/>
  <c r="K29" i="47"/>
  <c r="K28" i="47"/>
  <c r="K27" i="47"/>
  <c r="K25" i="47"/>
  <c r="K24" i="47"/>
  <c r="K23" i="47"/>
  <c r="K21" i="47"/>
  <c r="K20" i="47"/>
  <c r="K19" i="47"/>
  <c r="Y18" i="40"/>
  <c r="X18" i="40"/>
  <c r="W18" i="40"/>
  <c r="Q18" i="40"/>
  <c r="L18" i="40"/>
  <c r="R17" i="47"/>
  <c r="M17" i="47"/>
  <c r="V16" i="40"/>
  <c r="K16" i="40"/>
  <c r="L12" i="47"/>
  <c r="D18" i="31"/>
  <c r="F18" i="31"/>
  <c r="U24" i="40"/>
  <c r="U23" i="40"/>
  <c r="U22" i="40"/>
  <c r="U21" i="40"/>
  <c r="U20" i="40"/>
  <c r="U19" i="40"/>
  <c r="N29" i="31"/>
  <c r="N28" i="31"/>
  <c r="N24" i="31"/>
  <c r="N23" i="31"/>
  <c r="N19" i="31"/>
  <c r="N18" i="31"/>
  <c r="N12" i="47" l="1"/>
  <c r="N13" i="47"/>
  <c r="P12" i="47"/>
  <c r="P13" i="47"/>
  <c r="O13" i="47"/>
  <c r="O12" i="47"/>
  <c r="O5" i="37" l="1"/>
  <c r="D4" i="47" l="1"/>
  <c r="N6" i="47" s="1"/>
  <c r="H20" i="35"/>
  <c r="H19" i="35"/>
  <c r="Q18" i="47" l="1"/>
  <c r="Q20" i="47"/>
  <c r="Q21" i="47"/>
  <c r="Q19" i="47"/>
  <c r="P7" i="47"/>
  <c r="O7" i="47"/>
  <c r="N7" i="47"/>
  <c r="O6" i="47"/>
  <c r="P6" i="47"/>
  <c r="J38" i="47"/>
  <c r="H38" i="47"/>
  <c r="J34" i="47"/>
  <c r="H34" i="47"/>
  <c r="J30" i="47"/>
  <c r="H30" i="47"/>
  <c r="J26" i="47"/>
  <c r="H26" i="47"/>
  <c r="Q26" i="47" l="1"/>
  <c r="Q27" i="47"/>
  <c r="Q28" i="47"/>
  <c r="Q29" i="47"/>
  <c r="Q22" i="47"/>
  <c r="Q23" i="47"/>
  <c r="Q24" i="47"/>
  <c r="Q25" i="47"/>
  <c r="Q30" i="47"/>
  <c r="Q31" i="47"/>
  <c r="Q32" i="47"/>
  <c r="Q33" i="47"/>
  <c r="Q40" i="47"/>
  <c r="Q41" i="47"/>
  <c r="Q38" i="47"/>
  <c r="Q39" i="47"/>
  <c r="Q34" i="47"/>
  <c r="Q35" i="47"/>
  <c r="Q36" i="47"/>
  <c r="Q37" i="47"/>
  <c r="H22" i="47"/>
  <c r="F34" i="47"/>
  <c r="E34" i="47"/>
  <c r="D34" i="47"/>
  <c r="F26" i="47"/>
  <c r="E26" i="47"/>
  <c r="D26" i="47"/>
  <c r="J22" i="47"/>
  <c r="J18" i="47"/>
  <c r="H18" i="47"/>
  <c r="F18" i="47"/>
  <c r="E18" i="47"/>
  <c r="D18" i="47"/>
  <c r="S21" i="40"/>
  <c r="H21" i="40"/>
  <c r="F21" i="40"/>
  <c r="E21" i="40"/>
  <c r="D21" i="40"/>
  <c r="V29" i="31"/>
  <c r="V24" i="31"/>
  <c r="V19" i="31"/>
  <c r="V22" i="40" l="1"/>
  <c r="X22" i="40"/>
  <c r="W22" i="40"/>
  <c r="Y22" i="40"/>
  <c r="F24" i="31"/>
  <c r="V23" i="31"/>
  <c r="T23" i="31"/>
  <c r="S23" i="31"/>
  <c r="L23" i="31"/>
  <c r="K23" i="31"/>
  <c r="F23" i="31"/>
  <c r="D23" i="31"/>
  <c r="C23" i="31"/>
  <c r="Q22" i="31"/>
  <c r="Y21" i="31"/>
  <c r="I21" i="31"/>
  <c r="Q24" i="31" l="1"/>
  <c r="P23" i="31"/>
  <c r="O24" i="31"/>
  <c r="P24" i="31"/>
  <c r="L22" i="47"/>
  <c r="L25" i="47"/>
  <c r="P23" i="47"/>
  <c r="R24" i="47"/>
  <c r="O23" i="47"/>
  <c r="P24" i="47"/>
  <c r="N23" i="47"/>
  <c r="R22" i="47"/>
  <c r="R25" i="47"/>
  <c r="O24" i="47"/>
  <c r="M23" i="47"/>
  <c r="P22" i="47"/>
  <c r="P25" i="47"/>
  <c r="N24" i="47"/>
  <c r="L23" i="47"/>
  <c r="O22" i="47"/>
  <c r="O25" i="47"/>
  <c r="M24" i="47"/>
  <c r="N22" i="47"/>
  <c r="N25" i="47"/>
  <c r="L24" i="47"/>
  <c r="M22" i="47"/>
  <c r="M25" i="47"/>
  <c r="R23" i="47"/>
  <c r="N32" i="47" l="1"/>
  <c r="P31" i="47"/>
  <c r="N30" i="47"/>
  <c r="M32" i="47"/>
  <c r="R33" i="47"/>
  <c r="O31" i="47"/>
  <c r="M30" i="47"/>
  <c r="L32" i="47"/>
  <c r="P33" i="47"/>
  <c r="N31" i="47"/>
  <c r="L30" i="47"/>
  <c r="O33" i="47"/>
  <c r="M31" i="47"/>
  <c r="N33" i="47"/>
  <c r="L31" i="47"/>
  <c r="R32" i="47"/>
  <c r="M33" i="47"/>
  <c r="R30" i="47"/>
  <c r="P32" i="47"/>
  <c r="L33" i="47"/>
  <c r="P30" i="47"/>
  <c r="O32" i="47"/>
  <c r="R31" i="47"/>
  <c r="O30" i="47"/>
  <c r="P40" i="47"/>
  <c r="N39" i="47"/>
  <c r="L38" i="47"/>
  <c r="R41" i="47"/>
  <c r="O40" i="47"/>
  <c r="M39" i="47"/>
  <c r="P41" i="47"/>
  <c r="N40" i="47"/>
  <c r="L39" i="47"/>
  <c r="O41" i="47"/>
  <c r="M40" i="47"/>
  <c r="R38" i="47"/>
  <c r="N41" i="47"/>
  <c r="L40" i="47"/>
  <c r="P38" i="47"/>
  <c r="M41" i="47"/>
  <c r="R39" i="47"/>
  <c r="O38" i="47"/>
  <c r="L41" i="47"/>
  <c r="P39" i="47"/>
  <c r="N38" i="47"/>
  <c r="R40" i="47"/>
  <c r="O39" i="47"/>
  <c r="M38" i="47"/>
  <c r="D4" i="31"/>
  <c r="Y26" i="31"/>
  <c r="Y16" i="31"/>
  <c r="D4" i="40"/>
  <c r="S18" i="31"/>
  <c r="T18" i="31"/>
  <c r="V18" i="31"/>
  <c r="S28" i="31"/>
  <c r="T28" i="31"/>
  <c r="V28" i="31"/>
  <c r="S23" i="40"/>
  <c r="S19" i="40"/>
  <c r="H23" i="40"/>
  <c r="H19" i="40"/>
  <c r="F23" i="40"/>
  <c r="E23" i="40"/>
  <c r="D23" i="40"/>
  <c r="E19" i="40"/>
  <c r="F19" i="40"/>
  <c r="D19" i="40"/>
  <c r="F29" i="31"/>
  <c r="F28" i="31"/>
  <c r="F19" i="31"/>
  <c r="L28" i="31"/>
  <c r="O29" i="31" s="1"/>
  <c r="K18" i="31"/>
  <c r="K28" i="31"/>
  <c r="C28" i="31"/>
  <c r="C18" i="31"/>
  <c r="L18" i="31"/>
  <c r="D28" i="31"/>
  <c r="D5" i="38"/>
  <c r="C5" i="38"/>
  <c r="D4" i="38"/>
  <c r="K10" i="40" l="1"/>
  <c r="K19" i="40" s="1"/>
  <c r="L10" i="40"/>
  <c r="K21" i="40" s="1"/>
  <c r="M10" i="40"/>
  <c r="K11" i="40"/>
  <c r="K20" i="40" s="1"/>
  <c r="L11" i="40"/>
  <c r="K22" i="40" s="1"/>
  <c r="M11" i="40"/>
  <c r="E12" i="31"/>
  <c r="U12" i="31" s="1"/>
  <c r="X18" i="31" s="1"/>
  <c r="G11" i="31"/>
  <c r="W11" i="31" s="1"/>
  <c r="W29" i="31" s="1"/>
  <c r="F12" i="31"/>
  <c r="F11" i="31"/>
  <c r="V11" i="31" s="1"/>
  <c r="W24" i="31" s="1"/>
  <c r="G12" i="31"/>
  <c r="E11" i="31"/>
  <c r="F13" i="31"/>
  <c r="E10" i="31"/>
  <c r="G13" i="31"/>
  <c r="W13" i="31" s="1"/>
  <c r="X29" i="31" s="1"/>
  <c r="P19" i="31"/>
  <c r="P18" i="31"/>
  <c r="O19" i="31"/>
  <c r="P28" i="31"/>
  <c r="P29" i="31"/>
  <c r="L18" i="47"/>
  <c r="O18" i="31"/>
  <c r="V24" i="40"/>
  <c r="Y24" i="40"/>
  <c r="W24" i="40"/>
  <c r="X24" i="40"/>
  <c r="X20" i="40"/>
  <c r="Y20" i="40"/>
  <c r="W20" i="40"/>
  <c r="V20" i="40"/>
  <c r="E13" i="31"/>
  <c r="U13" i="31" s="1"/>
  <c r="X19" i="31" s="1"/>
  <c r="V12" i="31" l="1"/>
  <c r="X23" i="31" s="1"/>
  <c r="H23" i="31"/>
  <c r="U10" i="31"/>
  <c r="Z18" i="31"/>
  <c r="AA18" i="31"/>
  <c r="Y18" i="31"/>
  <c r="W12" i="31"/>
  <c r="X28" i="31" s="1"/>
  <c r="H28" i="31"/>
  <c r="V13" i="31"/>
  <c r="X24" i="31" s="1"/>
  <c r="H24" i="31"/>
  <c r="U11" i="31"/>
  <c r="W19" i="31" s="1"/>
  <c r="Y19" i="31"/>
  <c r="L19" i="40"/>
  <c r="O28" i="31"/>
  <c r="M18" i="47"/>
  <c r="H19" i="31"/>
  <c r="H18" i="31"/>
  <c r="H29" i="31"/>
  <c r="V19" i="40"/>
  <c r="Y19" i="40"/>
  <c r="W19" i="40"/>
  <c r="X19" i="40"/>
  <c r="N19" i="40"/>
  <c r="Q19" i="40"/>
  <c r="O19" i="40"/>
  <c r="M19" i="40"/>
  <c r="Q22" i="40"/>
  <c r="O22" i="40"/>
  <c r="N22" i="40"/>
  <c r="M22" i="40"/>
  <c r="L22" i="40"/>
  <c r="N20" i="40"/>
  <c r="O20" i="40"/>
  <c r="M20" i="40"/>
  <c r="Q20" i="40"/>
  <c r="L20" i="40"/>
  <c r="O21" i="40"/>
  <c r="N21" i="40"/>
  <c r="M21" i="40"/>
  <c r="L21" i="40"/>
  <c r="Q21" i="40"/>
  <c r="L21" i="47"/>
  <c r="R19" i="47"/>
  <c r="P19" i="47"/>
  <c r="L20" i="47"/>
  <c r="N21" i="47"/>
  <c r="N18" i="47"/>
  <c r="L19" i="47"/>
  <c r="P20" i="47"/>
  <c r="O20" i="47"/>
  <c r="M20" i="47"/>
  <c r="R21" i="47"/>
  <c r="R20" i="47"/>
  <c r="O18" i="47"/>
  <c r="M21" i="47"/>
  <c r="R18" i="47"/>
  <c r="N20" i="47"/>
  <c r="N19" i="47"/>
  <c r="O19" i="47"/>
  <c r="O21" i="47"/>
  <c r="P21" i="47"/>
  <c r="M19" i="47"/>
  <c r="P18" i="47"/>
  <c r="K23" i="40"/>
  <c r="K24" i="40"/>
  <c r="Q23" i="31" l="1"/>
  <c r="O23" i="31"/>
  <c r="M35" i="47"/>
  <c r="L35" i="47"/>
  <c r="L34" i="47"/>
  <c r="W23" i="40"/>
  <c r="V23" i="40"/>
  <c r="Y23" i="40"/>
  <c r="X23" i="40"/>
  <c r="W21" i="40"/>
  <c r="V21" i="40"/>
  <c r="Y21" i="40"/>
  <c r="X21" i="40"/>
  <c r="Q24" i="40"/>
  <c r="N24" i="40"/>
  <c r="O24" i="40"/>
  <c r="L24" i="40"/>
  <c r="M24" i="40"/>
  <c r="Q23" i="40"/>
  <c r="O23" i="40"/>
  <c r="N23" i="40"/>
  <c r="M23" i="40"/>
  <c r="L23" i="40"/>
  <c r="N30" i="35" l="1"/>
  <c r="N31" i="35"/>
  <c r="N32" i="35"/>
  <c r="N60" i="35"/>
  <c r="N61" i="35"/>
  <c r="N62" i="35"/>
  <c r="N52" i="35" l="1"/>
  <c r="N53" i="35"/>
  <c r="N54" i="35"/>
  <c r="N55" i="35"/>
  <c r="N56" i="35"/>
  <c r="N57" i="35"/>
  <c r="N58" i="35"/>
  <c r="N59" i="35"/>
  <c r="N3" i="35" l="1"/>
  <c r="N4" i="35"/>
  <c r="N5" i="35"/>
  <c r="N6" i="35"/>
  <c r="N7" i="35"/>
  <c r="N8" i="35"/>
  <c r="N9" i="35"/>
  <c r="N10" i="35"/>
  <c r="N11" i="35"/>
  <c r="N12" i="35"/>
  <c r="N13" i="35"/>
  <c r="N14" i="35"/>
  <c r="N15" i="35"/>
  <c r="N16" i="35"/>
  <c r="N17" i="35"/>
  <c r="N18" i="35"/>
  <c r="N19" i="35"/>
  <c r="N20" i="35"/>
  <c r="N21" i="35"/>
  <c r="N22" i="35"/>
  <c r="N23" i="35"/>
  <c r="N24" i="35"/>
  <c r="N25" i="35"/>
  <c r="N26" i="35"/>
  <c r="N27" i="35"/>
  <c r="N28" i="35"/>
  <c r="N29" i="35"/>
  <c r="N33" i="35"/>
  <c r="N34" i="35"/>
  <c r="N35" i="35"/>
  <c r="N36" i="35"/>
  <c r="N37" i="35"/>
  <c r="N38" i="35"/>
  <c r="N39" i="35"/>
  <c r="N40" i="35"/>
  <c r="N41" i="35"/>
  <c r="N42" i="35"/>
  <c r="N43" i="35"/>
  <c r="N44" i="35"/>
  <c r="N45" i="35"/>
  <c r="N46" i="35"/>
  <c r="N47" i="35"/>
  <c r="N48" i="35"/>
  <c r="N49" i="35"/>
  <c r="N50" i="35"/>
  <c r="N51" i="35"/>
  <c r="N2" i="35"/>
  <c r="Q27" i="31" l="1"/>
  <c r="Q17" i="31"/>
  <c r="P8" i="39" l="1"/>
  <c r="P7" i="39"/>
  <c r="P6" i="39"/>
  <c r="I26" i="31" l="1"/>
  <c r="I16" i="31"/>
  <c r="O27" i="47" l="1"/>
  <c r="L28" i="47"/>
  <c r="O26" i="47"/>
  <c r="N27" i="47"/>
  <c r="P28" i="47"/>
  <c r="L27" i="47"/>
  <c r="R26" i="47"/>
  <c r="M26" i="47"/>
  <c r="L26" i="47"/>
  <c r="P26" i="47"/>
  <c r="N26" i="47"/>
  <c r="O29" i="47"/>
  <c r="R28" i="47"/>
  <c r="L29" i="47"/>
  <c r="O28" i="47"/>
  <c r="M28" i="47"/>
  <c r="R29" i="47"/>
  <c r="P29" i="47"/>
  <c r="R27" i="47"/>
  <c r="N28" i="47"/>
  <c r="P27" i="47"/>
  <c r="M29" i="47"/>
  <c r="M27" i="47"/>
  <c r="N29" i="47"/>
  <c r="P34" i="47"/>
  <c r="L36" i="47"/>
  <c r="R37" i="47"/>
  <c r="R34" i="47"/>
  <c r="O34" i="47"/>
  <c r="P35" i="47"/>
  <c r="L37" i="47"/>
  <c r="R35" i="47"/>
  <c r="N35" i="47"/>
  <c r="R36" i="47"/>
  <c r="O35" i="47"/>
  <c r="M37" i="47"/>
  <c r="P37" i="47"/>
  <c r="O36" i="47"/>
  <c r="N37" i="47"/>
  <c r="M34" i="47"/>
  <c r="O37" i="47"/>
  <c r="N34" i="47"/>
  <c r="M36" i="47"/>
  <c r="N36" i="47"/>
  <c r="P36" i="47"/>
  <c r="Q29" i="31" l="1"/>
  <c r="Q28" i="31"/>
  <c r="Q19" i="31"/>
  <c r="Q18" i="31"/>
  <c r="G10" i="31"/>
  <c r="W10" i="31" s="1"/>
  <c r="F10" i="31"/>
  <c r="V10" i="31" s="1"/>
  <c r="W23" i="31" s="1"/>
  <c r="Z19" i="31" l="1"/>
  <c r="Z24" i="31"/>
  <c r="AA24" i="31"/>
  <c r="Y24" i="31"/>
  <c r="G23" i="31"/>
  <c r="I23" i="31" s="1"/>
  <c r="Y23" i="31"/>
  <c r="Z23" i="31"/>
  <c r="Z28" i="31"/>
  <c r="AA28" i="31"/>
  <c r="Y28" i="31"/>
  <c r="Z29" i="31"/>
  <c r="Y29" i="31"/>
  <c r="G19" i="31"/>
  <c r="I19" i="31" s="1"/>
  <c r="G24" i="31"/>
  <c r="I24" i="31" s="1"/>
  <c r="G18" i="31"/>
  <c r="I18" i="31" s="1"/>
  <c r="W28" i="31"/>
  <c r="G28" i="31"/>
  <c r="I28" i="31" s="1"/>
  <c r="G29" i="31"/>
  <c r="I29" i="31" s="1"/>
  <c r="AA29" i="31"/>
  <c r="AA19" i="31"/>
  <c r="W18" i="31"/>
  <c r="AA23" i="31"/>
</calcChain>
</file>

<file path=xl/sharedStrings.xml><?xml version="1.0" encoding="utf-8"?>
<sst xmlns="http://schemas.openxmlformats.org/spreadsheetml/2006/main" count="1257" uniqueCount="382">
  <si>
    <t>Description of this workbook:</t>
  </si>
  <si>
    <t>The risk calculator workbook contains the following spreadsheets: Dashboard, RR, Inhalation Exposure, Dermal Crosswalk, Dermal Exposure, Exposure Factors, Hazard Values, and List Values. The workbook is designed such that the user need only to use the first two spreadsheets which have tabs colored green and contain the results of the risk calculator i.e. the Dashboard and the RR. The remaining spreadsheets contain data storage and calculation spreadsheets.</t>
  </si>
  <si>
    <t>Worksheet</t>
  </si>
  <si>
    <t>Description</t>
  </si>
  <si>
    <t>Calculation Summary</t>
  </si>
  <si>
    <t>Dashboard</t>
  </si>
  <si>
    <t>RR</t>
  </si>
  <si>
    <t>Aggregate RR</t>
  </si>
  <si>
    <t>Exposure Results,
Dermal Exposure, 
Exposure Factors, 
Hazard Values, and 
List Values</t>
  </si>
  <si>
    <t>As described above the remaining spreadsheets are data storage and calculation spreadsheets. These worksheets store the exposure estimates, health values and store some of the risk calculations. The user does not need to access these worksheets to use the Dashboard and RR spreadsheets as described above; all results are automatically loaded into the Dashboard and RR spreadsheets.</t>
  </si>
  <si>
    <t>Equations and Calculations Used for Risk Calculator</t>
  </si>
  <si>
    <t>Exposure Type</t>
  </si>
  <si>
    <t>Equation</t>
  </si>
  <si>
    <t>Equation Parameters</t>
  </si>
  <si>
    <t>Acute Dose (AD) (mg/kg/day)</t>
  </si>
  <si>
    <t>AD = 8-hr TWA Concentration x ED x BR / BW</t>
  </si>
  <si>
    <r>
      <t>- ED = 8 hr/day
- BR = Breathing Rate (worker): 1.25 m</t>
    </r>
    <r>
      <rPr>
        <vertAlign val="superscript"/>
        <sz val="10"/>
        <color theme="1"/>
        <rFont val="Times New Roman"/>
        <family val="1"/>
      </rPr>
      <t>3</t>
    </r>
    <r>
      <rPr>
        <sz val="10"/>
        <color theme="1"/>
        <rFont val="Times New Roman"/>
        <family val="1"/>
      </rPr>
      <t>/hr
- BW = Body weight: 80 kg (average adult worker), 72.4 kg (woman of childbearing age)</t>
    </r>
  </si>
  <si>
    <t>Intermediate Average Daily Dose (IADD)(mg/kg/day)</t>
  </si>
  <si>
    <t>IADD = 8-hr TWA concentration x ED x BR x EFint/ (BW x ID)</t>
  </si>
  <si>
    <t>- ED = 8 hr/day
- BR = Breathing Rate (worker): 1.25 m3/hr
- BW = Body weight: 80 kg (average adult worker), 72.4 kg (woman of childbearing age)
- EFint = The exposure days in the numerator will typically be 22 days/yr when the total exposure days/yr is &gt;22 days/yr or equal to the total exposure days/yr if the total is &lt;22 days/yr. This maximizes the number of exposure days in the Intermediate timeframe, acOESnting for days off.  However, we may adjust this approach if we have specific information about the OES. For example, if we know that facilities operate using a single, week-long campaign, once per month (i.e., 7 days/month x 12 months). In this case, we would use 7 days for the Intermediate exposure days.
- ID = 30 days</t>
  </si>
  <si>
    <t>Chronic Average Daily Dose (ADD)(mg/kg/day)</t>
  </si>
  <si>
    <t>ADD = 8-hr TWA concentration x ED x BR  x EF x WY/ (BW x 365days/yr x WY)</t>
  </si>
  <si>
    <t>- ED = 8 hr/day
- BR = Breathing Rate (worker): 1.25 m3/hr
- BW = Body weight: 80 kg (average adult worker), 72.4 kg (woman of childbearing age)
- EF = 2 to 250 days depending on OES
- WY = 31 (central tendency) to 40 yr (high-end)</t>
  </si>
  <si>
    <t>Inhalation Exposure Risk Calculations</t>
  </si>
  <si>
    <t>Human Equivalent Dose (HED) (mg/kg)</t>
  </si>
  <si>
    <t>see Health Data tab</t>
  </si>
  <si>
    <t>Benchmark Margin of Exposure (MOE) (unitless)</t>
  </si>
  <si>
    <t>Acute MOE (unitless)</t>
  </si>
  <si>
    <t>HED / AD</t>
  </si>
  <si>
    <t>The calculated MOE is then compared with the Benchmark MOE; if the calculated MOE is less than the benchmark MOE then there is risk.</t>
  </si>
  <si>
    <t>Intermediate MOE (unitless)</t>
  </si>
  <si>
    <t>HED / IADD</t>
  </si>
  <si>
    <t>Chronic, Non-Cancer MOE (unitless)</t>
  </si>
  <si>
    <t>HED / ADD</t>
  </si>
  <si>
    <t>Dermal Exposures</t>
  </si>
  <si>
    <t>AD = APDR / BW</t>
  </si>
  <si>
    <t xml:space="preserve"> - AD	= Acute retained dose (mg/kg-day)
 - APDR	= Acute potential dose rate (mg/day)
 - BW	= Body weight (kg)</t>
  </si>
  <si>
    <t>Intermediate Daily Dose (IADD)(mg/kg/day)</t>
  </si>
  <si>
    <r>
      <t>IADD = APDR x EF</t>
    </r>
    <r>
      <rPr>
        <vertAlign val="subscript"/>
        <sz val="10"/>
        <color theme="1"/>
        <rFont val="Times New Roman"/>
        <family val="1"/>
      </rPr>
      <t>int</t>
    </r>
    <r>
      <rPr>
        <sz val="10"/>
        <color theme="1"/>
        <rFont val="Times New Roman"/>
        <family val="1"/>
      </rPr>
      <t xml:space="preserve"> / BW x ID</t>
    </r>
  </si>
  <si>
    <t>- APDR	= Acute potential dose rate (mg/day)
-  EFint = The exposure days in the numerator will typically be 22 days/yr when the total exposure days/yr is &gt;22 days/yr or equal to the total exposure days/yr if the total is &lt;22 days/yr. This maximizes the number of exposure days in the Intermediate timeframe, accounting for days off.  However, we may adjust this approach if we have specific information about the OES. For example, if we know that facilities operate using a single, week-long campaign, once per month (i.e., 7 days/month x 12 months). In this case, we would use 7 days for the Intermediate exposure days.
- ID = 30 days
- BW = Body weight: 80 kg (average adult worker), 72.4 kg (woman of childbearing age)
- IADD	=	Intermediate average daily dose (mg/kg-day)</t>
  </si>
  <si>
    <t>ADD = APDR x EF x WY/ (BW x 365days/yr x WY)</t>
  </si>
  <si>
    <t>-APDR = Acute potential dose rate (mg/day)
- BW = Body weight: 80 kg (average adult worker), 72.4 kg (woman of childbearing age)
- EF = 2 to 250 days depending on OES
- WY = 31 (central tendency) to 40 yr (high-end)</t>
  </si>
  <si>
    <t>Dermal Exposure Risk Calculations</t>
  </si>
  <si>
    <t>Occupational Exposure Scenario</t>
  </si>
  <si>
    <t>Inhalation Exposure</t>
  </si>
  <si>
    <t>Personal Protective Equipment (PPE)</t>
  </si>
  <si>
    <t>Dermal</t>
  </si>
  <si>
    <t>Select the Occupational Exposure Scenario (select)</t>
  </si>
  <si>
    <t>Data Type
(Auto-Fill)</t>
  </si>
  <si>
    <t>Respirator Protection Factor (Select)</t>
  </si>
  <si>
    <t>Glove Protection Factor (Select)</t>
  </si>
  <si>
    <t>Worker Type
(Default)</t>
  </si>
  <si>
    <t>Average Adult Worker</t>
  </si>
  <si>
    <t>Inhalation</t>
  </si>
  <si>
    <t>Aggregate Inhalation and Dermal</t>
  </si>
  <si>
    <t>Exposure Outputs</t>
  </si>
  <si>
    <t>Category</t>
  </si>
  <si>
    <t>Exposure Level</t>
  </si>
  <si>
    <t>Acute Dose</t>
  </si>
  <si>
    <t>Intermediate, Non-Cancer Exposures</t>
  </si>
  <si>
    <t>Average Daily Dose, Chronic Non-Cancer Exposures</t>
  </si>
  <si>
    <t>Intermediate Average Daily Dose</t>
  </si>
  <si>
    <t>AD (mg/kg/day)</t>
  </si>
  <si>
    <t>IADD (mg/kg/day)</t>
  </si>
  <si>
    <t>ADD (mg/kg/day)</t>
  </si>
  <si>
    <t>ADD, non-cancer (mg/kg/day)</t>
  </si>
  <si>
    <t>AD ((mg/kg/day))</t>
  </si>
  <si>
    <t>High-End</t>
  </si>
  <si>
    <t>Central Tendency</t>
  </si>
  <si>
    <t>ONU</t>
  </si>
  <si>
    <t>Risk Estimation for Acute, Non-Cancer Inhalation Exposures</t>
  </si>
  <si>
    <t>Risk Estimation for Acute, Non-Cancer Dermal Exposures</t>
  </si>
  <si>
    <t>Risk Estimation for Acute, Non-Cancer Aggregate Exposures</t>
  </si>
  <si>
    <t>Health Effect, Endpoint and Study</t>
  </si>
  <si>
    <t>POD (mg/kg/day)</t>
  </si>
  <si>
    <t>Benchmark MOE 
(= Total UF)</t>
  </si>
  <si>
    <t>Acute Exposure Estimates</t>
  </si>
  <si>
    <t>Gloved Scenarios</t>
  </si>
  <si>
    <t>Respirator and Glove Scenario</t>
  </si>
  <si>
    <t>Worker MOE</t>
  </si>
  <si>
    <t>ONU MOE</t>
  </si>
  <si>
    <t>Worker MOE, No Gloves</t>
  </si>
  <si>
    <t>ONU MOE, No Gloves</t>
  </si>
  <si>
    <t>Tox1</t>
  </si>
  <si>
    <t>Risk Estimation for Intermediate, Non-Cancer Inhalation Exposures</t>
  </si>
  <si>
    <t>Risk Estimation for Intermediate, Non-Cancer Dermal Exposures</t>
  </si>
  <si>
    <t>Risk Estimation for Intermediate, Non-Cancer Aggregate Exposures</t>
  </si>
  <si>
    <t>Intermediate Exposure Estimates</t>
  </si>
  <si>
    <t>Tox2</t>
  </si>
  <si>
    <t>Risk Estimation for Chronic, Non-Cancer Inhalation Exposures</t>
  </si>
  <si>
    <t>Risk Estimation for Chronic, Non-Cancer Dermal Exposures</t>
  </si>
  <si>
    <t>Risk Estimation for Chronic, Non-Cancer Aggregate Exposures</t>
  </si>
  <si>
    <t>Chronic Exposure Estimates</t>
  </si>
  <si>
    <t>HED (mg/kg)</t>
  </si>
  <si>
    <t>Tox3</t>
  </si>
  <si>
    <t>Worker</t>
  </si>
  <si>
    <t>Female of Reproductive Age</t>
  </si>
  <si>
    <t>8-hr TWA Inhalation Exposures</t>
  </si>
  <si>
    <t>Acute Exposures</t>
  </si>
  <si>
    <t>Chronic, Non-Cancer Exposures</t>
  </si>
  <si>
    <t>Acute Retained Dose</t>
  </si>
  <si>
    <t>Chronic Retained Dose, Non-Cancer</t>
  </si>
  <si>
    <t>AD (mg/kg-day)</t>
  </si>
  <si>
    <t>ADD (mg/kg-day)</t>
  </si>
  <si>
    <t>Risk Estimation for Inhalation Exposures</t>
  </si>
  <si>
    <t>Risk Estimation for Dermal Exposures</t>
  </si>
  <si>
    <t>Risk Type</t>
  </si>
  <si>
    <t>Toxicity Endpoint</t>
  </si>
  <si>
    <t>Study</t>
  </si>
  <si>
    <t>POD (mg/kg/day) or IUR (ppm-1)</t>
  </si>
  <si>
    <t>Assigned Protection Factor (APF)</t>
  </si>
  <si>
    <t>No Gloves</t>
  </si>
  <si>
    <t>Protection Factor (PF)</t>
  </si>
  <si>
    <t>No Respirator</t>
  </si>
  <si>
    <t>Acute, Non-Cancer</t>
  </si>
  <si>
    <t>Intermediate, Non-Cancer</t>
  </si>
  <si>
    <t>Chronic, Non-Cancer</t>
  </si>
  <si>
    <t>=</t>
  </si>
  <si>
    <t>Worker Type</t>
  </si>
  <si>
    <t>AD, 24-hr TWA (mg/kg/day)</t>
  </si>
  <si>
    <t>ADD, 24-hr TWA (mg/kg/day)</t>
  </si>
  <si>
    <t>Risk Estimation for Aggregate Exposures</t>
  </si>
  <si>
    <t>Glove Protection Factor</t>
  </si>
  <si>
    <t>Respirator Assigned Protection Factors</t>
  </si>
  <si>
    <t>Exposure Days/yr</t>
  </si>
  <si>
    <t>Eight Hour  TWA Exposures - Vapor/Mist</t>
  </si>
  <si>
    <t>Eight Hour  TWA Exposures - Dust</t>
  </si>
  <si>
    <t>Chronic Average Daily Dose, Non-Cancer Exposures</t>
  </si>
  <si>
    <t>IADD (mg/m3)</t>
  </si>
  <si>
    <t>Column1</t>
  </si>
  <si>
    <t>OES Group</t>
  </si>
  <si>
    <t>OES</t>
  </si>
  <si>
    <t>Vapor Exposure Scenario</t>
  </si>
  <si>
    <t>ED_High-End</t>
  </si>
  <si>
    <t>ED_Central Tendency</t>
  </si>
  <si>
    <t>TWA_High-End</t>
  </si>
  <si>
    <t>TWA_Central Tendency</t>
  </si>
  <si>
    <t>Dust_High-End</t>
  </si>
  <si>
    <t>Dust_Central Tendency</t>
  </si>
  <si>
    <t>24hr_High-End</t>
  </si>
  <si>
    <t>24hr_Central Tendency</t>
  </si>
  <si>
    <t>Int_High-End</t>
  </si>
  <si>
    <t>Int_Central Tendency</t>
  </si>
  <si>
    <t>ADD_High-End</t>
  </si>
  <si>
    <t>ADD_Central Tendency</t>
  </si>
  <si>
    <t>Eight-Hour TWA Data Points</t>
  </si>
  <si>
    <t>Total Data Points</t>
  </si>
  <si>
    <t>Sources &amp; Notes</t>
  </si>
  <si>
    <t>Data Type</t>
  </si>
  <si>
    <t>Manufacturing</t>
  </si>
  <si>
    <t>8-hr</t>
  </si>
  <si>
    <t>None</t>
  </si>
  <si>
    <t>PNOR Dust Model</t>
  </si>
  <si>
    <t>Modeled Data</t>
  </si>
  <si>
    <t>Central Tendancy of Worker used  for ONU bounding exposure.</t>
  </si>
  <si>
    <t>Import and Repackaging</t>
  </si>
  <si>
    <t>Incorporation into Adhesives and Sealants</t>
  </si>
  <si>
    <t>Incorporation into Paints and Coatings</t>
  </si>
  <si>
    <t>Incorporation into Other Formulations, Mixtures, or Reaction Products</t>
  </si>
  <si>
    <t>PVC Plastics Compounding</t>
  </si>
  <si>
    <t>PVC Plastics Converting</t>
  </si>
  <si>
    <t>Non-PVC Materials Compounding</t>
  </si>
  <si>
    <t>Non-PVC Materials Converting</t>
  </si>
  <si>
    <t>Application of paints and coatings (Liquids)</t>
  </si>
  <si>
    <t>Spray Mist Model</t>
  </si>
  <si>
    <t>Application of paints and coatings (Solids)</t>
  </si>
  <si>
    <t>Application of Adhesives and Sealants (Liquids)</t>
  </si>
  <si>
    <t>Application of Adhesives and Sealants (Solids)</t>
  </si>
  <si>
    <t>Use of Laboratory Chemicals (Liquids)</t>
  </si>
  <si>
    <t>Use of Laboratory Chemicals (Solids)</t>
  </si>
  <si>
    <t>Recycling</t>
  </si>
  <si>
    <t>Fabrication or Use of Final Products and Articles</t>
  </si>
  <si>
    <t>Waste handling, treatment, and disposal</t>
  </si>
  <si>
    <t>\</t>
  </si>
  <si>
    <t>Dermal Dose - Liquid Exposure</t>
  </si>
  <si>
    <t>Dermal Dose - Solid Exposure</t>
  </si>
  <si>
    <t>Acute Retained Dose - Adjusted for Category Type</t>
  </si>
  <si>
    <t>Intermediate Average Daily Dose, Non-Cancer</t>
  </si>
  <si>
    <t>Average Daily Dose, Chronic Non-Cancer</t>
  </si>
  <si>
    <t>Acute Retained Dose (mg/kg-day)</t>
  </si>
  <si>
    <t>sort</t>
  </si>
  <si>
    <t>High-End Exposure to Liquid</t>
  </si>
  <si>
    <t xml:space="preserve"> Central Tendency Exposure to Liquids</t>
  </si>
  <si>
    <t>High-End Exposure to Solids</t>
  </si>
  <si>
    <t>Central Tendency  Exposure to Solids</t>
  </si>
  <si>
    <t>High-End AD (mg/kg-day)</t>
  </si>
  <si>
    <t>Central Tendency AD (mg/kg-day)</t>
  </si>
  <si>
    <r>
      <t>High-End IADD</t>
    </r>
    <r>
      <rPr>
        <b/>
        <vertAlign val="subscript"/>
        <sz val="10"/>
        <rFont val="Times New Roman"/>
        <family val="1"/>
      </rPr>
      <t xml:space="preserve"> </t>
    </r>
    <r>
      <rPr>
        <b/>
        <sz val="10"/>
        <rFont val="Times New Roman"/>
        <family val="1"/>
      </rPr>
      <t>(mg/kg-day)</t>
    </r>
  </si>
  <si>
    <t>Central Tendency IADD (mg/kg-day)</t>
  </si>
  <si>
    <t>High-End ADD (mg/kg-day)</t>
  </si>
  <si>
    <t>Central Tendency ADD (mg/kg-day)</t>
  </si>
  <si>
    <t>N/A</t>
  </si>
  <si>
    <t>Look-up Values and Risk Parameter Values</t>
  </si>
  <si>
    <t>AEGL Table</t>
  </si>
  <si>
    <t>AEGL-1</t>
  </si>
  <si>
    <t>AEGL-2</t>
  </si>
  <si>
    <t>AEGL-3</t>
  </si>
  <si>
    <t>Look-up Table Values</t>
  </si>
  <si>
    <t>Code</t>
  </si>
  <si>
    <t>AEGL-1 HEC (mg/m3)</t>
  </si>
  <si>
    <t>AEGL-1 HEC (ppm)</t>
  </si>
  <si>
    <t>AEGL-2 HEC (mg/m3)</t>
  </si>
  <si>
    <t>AEGL-2 HEC (ppm)</t>
  </si>
  <si>
    <t>AEGL-3 HEC (mg/m3)</t>
  </si>
  <si>
    <t>AEGL-3 HEC (ppm)</t>
  </si>
  <si>
    <t>HEC Percentiles</t>
  </si>
  <si>
    <t>Exposure Percentiles</t>
  </si>
  <si>
    <t>AEGLs</t>
  </si>
  <si>
    <t>Unknown</t>
  </si>
  <si>
    <t>Maximum</t>
  </si>
  <si>
    <t>99th Percentile</t>
  </si>
  <si>
    <t>HEC</t>
  </si>
  <si>
    <t>95th Percentile</t>
  </si>
  <si>
    <t>50th Percentile</t>
  </si>
  <si>
    <t>Toxicity Table</t>
  </si>
  <si>
    <t>Acute and Chronic, Non-Cancer Parameters</t>
  </si>
  <si>
    <t>5th Percentile</t>
  </si>
  <si>
    <t>Health Effect</t>
  </si>
  <si>
    <t>Endpoint</t>
  </si>
  <si>
    <t>HEC (mg/m3)</t>
  </si>
  <si>
    <t>HEC (ppm)</t>
  </si>
  <si>
    <t>HED / POD (mg/kg/day)</t>
  </si>
  <si>
    <t>Benchmark MOE</t>
  </si>
  <si>
    <r>
      <t>IUR (ppm</t>
    </r>
    <r>
      <rPr>
        <b/>
        <vertAlign val="superscript"/>
        <sz val="10"/>
        <rFont val="Times New Roman"/>
        <family val="1"/>
      </rPr>
      <t>-1</t>
    </r>
    <r>
      <rPr>
        <b/>
        <sz val="10"/>
        <rFont val="Times New Roman"/>
        <family val="1"/>
      </rPr>
      <t>)</t>
    </r>
  </si>
  <si>
    <r>
      <t>CSF (mg/kg-day</t>
    </r>
    <r>
      <rPr>
        <b/>
        <vertAlign val="superscript"/>
        <sz val="10"/>
        <rFont val="Times New Roman"/>
        <family val="1"/>
      </rPr>
      <t>-1</t>
    </r>
    <r>
      <rPr>
        <b/>
        <sz val="10"/>
        <rFont val="Times New Roman"/>
        <family val="1"/>
      </rPr>
      <t>)</t>
    </r>
  </si>
  <si>
    <t>Minimum</t>
  </si>
  <si>
    <t>Phthalate syndrome-related effects</t>
  </si>
  <si>
    <t>--</t>
  </si>
  <si>
    <t>Mean</t>
  </si>
  <si>
    <t>HEC conversion factor</t>
  </si>
  <si>
    <r>
      <t>ppm/mg/m</t>
    </r>
    <r>
      <rPr>
        <vertAlign val="superscript"/>
        <sz val="10"/>
        <color theme="1"/>
        <rFont val="Times New Roman"/>
        <family val="1"/>
      </rPr>
      <t>3</t>
    </r>
  </si>
  <si>
    <t>DCHP MW</t>
  </si>
  <si>
    <t>g/mol</t>
  </si>
  <si>
    <t>Occupational Exposure Scenarios</t>
  </si>
  <si>
    <t>Exposure Data Types</t>
  </si>
  <si>
    <t>Monitoring Data</t>
  </si>
  <si>
    <t>Manufacturing - 8-hr TWA</t>
  </si>
  <si>
    <t>1a</t>
  </si>
  <si>
    <t>Manufacturing - 12-hr TWA</t>
  </si>
  <si>
    <t>1b</t>
  </si>
  <si>
    <t>Value</t>
  </si>
  <si>
    <t>Unit</t>
  </si>
  <si>
    <t>MW</t>
  </si>
  <si>
    <t>Repackaging</t>
  </si>
  <si>
    <t>Molar Volume</t>
  </si>
  <si>
    <t>L/mol</t>
  </si>
  <si>
    <t>Processing as Reactant/Intermediate - 8-hr TWA</t>
  </si>
  <si>
    <t>12a</t>
  </si>
  <si>
    <t>Parameter Name</t>
  </si>
  <si>
    <t>Symbol</t>
  </si>
  <si>
    <t>Processing as Reactant/Intermediate - 12-hr TWA</t>
  </si>
  <si>
    <t>12b</t>
  </si>
  <si>
    <t>BMDL Percentile</t>
  </si>
  <si>
    <t>Exposure Duration (8-hr)</t>
  </si>
  <si>
    <t>ED_8</t>
  </si>
  <si>
    <t xml:space="preserve">hr/day </t>
  </si>
  <si>
    <t>Application of Paints and Coatings (Liquids)</t>
  </si>
  <si>
    <t>Exposure Duration (10-hr)</t>
  </si>
  <si>
    <t>ED_10</t>
  </si>
  <si>
    <t>Incorporation into Formulation - Aerosol Packing</t>
  </si>
  <si>
    <t>13a</t>
  </si>
  <si>
    <t>Application of Paints and Coatings (Solids)</t>
  </si>
  <si>
    <t>Acute Exposure Averaging Time</t>
  </si>
  <si>
    <t>AT</t>
  </si>
  <si>
    <t>Incorporation into Formulation - Degreasing Solvent</t>
  </si>
  <si>
    <t>13b</t>
  </si>
  <si>
    <t xml:space="preserve">Exposure Frequency </t>
  </si>
  <si>
    <t>EF</t>
  </si>
  <si>
    <t xml:space="preserve">day/yr </t>
  </si>
  <si>
    <t>Incorporation into Formulation - Dry Cleaning Solvent</t>
  </si>
  <si>
    <t>13c</t>
  </si>
  <si>
    <t>Assigned Respirator Protection Factor</t>
  </si>
  <si>
    <t>Exposure Frequency (Intermediate)</t>
  </si>
  <si>
    <t>EFint</t>
  </si>
  <si>
    <t>Incorporation into Formulation - Miscellaneous</t>
  </si>
  <si>
    <t>13d</t>
  </si>
  <si>
    <t>Days for Intermediate Duration</t>
  </si>
  <si>
    <t>ID</t>
  </si>
  <si>
    <t>Open-top Vapor Degreasing</t>
  </si>
  <si>
    <t>2a</t>
  </si>
  <si>
    <t>Working Years Per Lifetime (Mid)</t>
  </si>
  <si>
    <t>WY_mid</t>
  </si>
  <si>
    <t xml:space="preserve">yr </t>
  </si>
  <si>
    <t>Working Years Per Lifetime (High)</t>
  </si>
  <si>
    <t>WY_high</t>
  </si>
  <si>
    <t>Closed Loop Vapor Degreasing</t>
  </si>
  <si>
    <t>LT</t>
  </si>
  <si>
    <t>Averaging time For ADD (Mid)</t>
  </si>
  <si>
    <t>AT_mid</t>
  </si>
  <si>
    <t xml:space="preserve">hr </t>
  </si>
  <si>
    <t>Conveyorized Vapor Degreasing</t>
  </si>
  <si>
    <t>Averaging time For ADD (High)</t>
  </si>
  <si>
    <t>AT_high</t>
  </si>
  <si>
    <t>Assigned Glove Protection Factor</t>
  </si>
  <si>
    <t>Web Degreasing</t>
  </si>
  <si>
    <t>General uses, PF = 5</t>
  </si>
  <si>
    <t>Commercial uses, PF = 10</t>
  </si>
  <si>
    <t>Cold Cleaning</t>
  </si>
  <si>
    <t>6a</t>
  </si>
  <si>
    <t>Industrial uses, PF = 20</t>
  </si>
  <si>
    <t>6b</t>
  </si>
  <si>
    <t>Aerosol Degreasing/Lubricants</t>
  </si>
  <si>
    <t>7a</t>
  </si>
  <si>
    <t>7b</t>
  </si>
  <si>
    <t>Post-2006 Dry Cleaning (including spot cleaning)</t>
  </si>
  <si>
    <t>8a</t>
  </si>
  <si>
    <t>4th/5th Gen Only Dry Cleaning (including spot cleaning)</t>
  </si>
  <si>
    <t>8b</t>
  </si>
  <si>
    <t>8c</t>
  </si>
  <si>
    <t>Paints/Coatings (commercial)</t>
  </si>
  <si>
    <t>9a</t>
  </si>
  <si>
    <t>Paints/Coatings (industrial)</t>
  </si>
  <si>
    <t>9b</t>
  </si>
  <si>
    <t>Adhesives (commercial)</t>
  </si>
  <si>
    <t>9c</t>
  </si>
  <si>
    <t>Adhesives (industrial)</t>
  </si>
  <si>
    <t>9d</t>
  </si>
  <si>
    <t>Chemical Maskant</t>
  </si>
  <si>
    <t>Industrial Processing Aid</t>
  </si>
  <si>
    <t>Other Industrial Uses - Miscellaneous</t>
  </si>
  <si>
    <t>15a</t>
  </si>
  <si>
    <t>Other Industrial Uses - Textile Processing</t>
  </si>
  <si>
    <t>15b</t>
  </si>
  <si>
    <t>Other Industrial Uses - Wood Furniture Manufacturing</t>
  </si>
  <si>
    <t>15c</t>
  </si>
  <si>
    <t>Other Industrial Uses - Foundry Applications</t>
  </si>
  <si>
    <t>15d</t>
  </si>
  <si>
    <t>Metalworking Fluid</t>
  </si>
  <si>
    <t>Wipe Cleaning and Metal/Stone Polishes</t>
  </si>
  <si>
    <t>Other Spot Cleaning/Spot Removers (Including Carpet Cleaning)</t>
  </si>
  <si>
    <t>Other Commercial Uses - Printing</t>
  </si>
  <si>
    <t>19a</t>
  </si>
  <si>
    <t>Other Commercial Uses - Photocopying</t>
  </si>
  <si>
    <t>19b</t>
  </si>
  <si>
    <t>Other Commercial Uses - Photographic Film</t>
  </si>
  <si>
    <t>19c</t>
  </si>
  <si>
    <t>Other Commercial Uses - Mold Release</t>
  </si>
  <si>
    <t>19d</t>
  </si>
  <si>
    <t>Other DOD Uses - Water Pipe Repair</t>
  </si>
  <si>
    <t>20a</t>
  </si>
  <si>
    <t>Other DOD Uses - Oil analysis</t>
  </si>
  <si>
    <t>20b</t>
  </si>
  <si>
    <t>Disposal/Recycling and Disposal</t>
  </si>
  <si>
    <t>Laboratory Chemicals</t>
  </si>
  <si>
    <t>Exposure Factors</t>
  </si>
  <si>
    <t>Characterization of Value</t>
  </si>
  <si>
    <t>Notes on Values:</t>
  </si>
  <si>
    <t>Body Weight, BW (kg)</t>
  </si>
  <si>
    <t>Per the exposure factors handbook 80 kg is the mean body weight for all adults. The "Female of Reproductive Age" weight is the mean for women 16-50 (listed below).</t>
  </si>
  <si>
    <r>
      <t>1 Hand Surface Area (cm</t>
    </r>
    <r>
      <rPr>
        <b/>
        <vertAlign val="superscript"/>
        <sz val="10"/>
        <color theme="1"/>
        <rFont val="Times New Roman"/>
        <family val="1"/>
      </rPr>
      <t>2</t>
    </r>
    <r>
      <rPr>
        <b/>
        <sz val="10"/>
        <color theme="1"/>
        <rFont val="Times New Roman"/>
        <family val="1"/>
      </rPr>
      <t>)</t>
    </r>
  </si>
  <si>
    <r>
      <t>535/1070 cm</t>
    </r>
    <r>
      <rPr>
        <vertAlign val="superscript"/>
        <sz val="10"/>
        <color theme="1"/>
        <rFont val="Times New Roman"/>
        <family val="1"/>
      </rPr>
      <t>2</t>
    </r>
    <r>
      <rPr>
        <sz val="10"/>
        <color theme="1"/>
        <rFont val="Times New Roman"/>
        <family val="1"/>
      </rPr>
      <t xml:space="preserve"> is the average male 1 hand/2 hand area and 445/890 cm</t>
    </r>
    <r>
      <rPr>
        <vertAlign val="superscript"/>
        <sz val="10"/>
        <color theme="1"/>
        <rFont val="Times New Roman"/>
        <family val="1"/>
      </rPr>
      <t>2</t>
    </r>
    <r>
      <rPr>
        <sz val="10"/>
        <color theme="1"/>
        <rFont val="Times New Roman"/>
        <family val="1"/>
      </rPr>
      <t xml:space="preserve"> is the female average.</t>
    </r>
  </si>
  <si>
    <r>
      <t>2 Hand Surface Area (cm</t>
    </r>
    <r>
      <rPr>
        <b/>
        <vertAlign val="superscript"/>
        <sz val="10"/>
        <color theme="1"/>
        <rFont val="Times New Roman"/>
        <family val="1"/>
      </rPr>
      <t>2</t>
    </r>
    <r>
      <rPr>
        <b/>
        <sz val="10"/>
        <color theme="1"/>
        <rFont val="Times New Roman"/>
        <family val="1"/>
      </rPr>
      <t>)</t>
    </r>
  </si>
  <si>
    <t>Working Years - High-End (yr)</t>
  </si>
  <si>
    <t>Working Years - Central Tendency (yr)</t>
  </si>
  <si>
    <t>Lifetime</t>
  </si>
  <si>
    <r>
      <t>Worker Breathing Rate (m</t>
    </r>
    <r>
      <rPr>
        <vertAlign val="superscript"/>
        <sz val="10"/>
        <color theme="1"/>
        <rFont val="Times New Roman"/>
        <family val="1"/>
      </rPr>
      <t>3</t>
    </r>
    <r>
      <rPr>
        <sz val="10"/>
        <color theme="1"/>
        <rFont val="Times New Roman"/>
        <family val="1"/>
      </rPr>
      <t>/hr)</t>
    </r>
  </si>
  <si>
    <t>Discrete</t>
  </si>
  <si>
    <t>Worker breathing rate is the combined average for men and women.</t>
  </si>
  <si>
    <r>
      <t>Resting Breathing Rate (m</t>
    </r>
    <r>
      <rPr>
        <vertAlign val="superscript"/>
        <sz val="10"/>
        <color theme="1"/>
        <rFont val="Times New Roman"/>
        <family val="1"/>
      </rPr>
      <t>3</t>
    </r>
    <r>
      <rPr>
        <sz val="10"/>
        <color theme="1"/>
        <rFont val="Times New Roman"/>
        <family val="1"/>
      </rPr>
      <t>/hr)</t>
    </r>
  </si>
  <si>
    <t>Woman of Childbearing Age Exposure Factors:</t>
  </si>
  <si>
    <t>Body Weight:</t>
  </si>
  <si>
    <t>From the Exposure Factors Handbook Table 8-5: Mean and Percentile Body Weights (kg) for Females Derived from NHANES (1990-2006) (1)</t>
  </si>
  <si>
    <t>Age 16 to &lt;21 years: 65.9 kg (mean)</t>
  </si>
  <si>
    <t>Age 21 to &lt;30 years: 71.9 kg (mean)</t>
  </si>
  <si>
    <t>Age 30 to &lt;40 years: 74.8 kg (mean)</t>
  </si>
  <si>
    <t>Age 40 to &lt;50 years: 77.1 kg (mean)</t>
  </si>
  <si>
    <t>(1) U.S. Environmental Protection Agency (EPA). (2011) Exposure Factors Handbook: 2011 Edition. National Center for Environmental Assessment, Washington, DC; EPA/600/R-09/052F. Available from the National Technical Information Service, Springfield, VA, and online at http://www.epa.gov/ncea/efh.</t>
  </si>
  <si>
    <t xml:space="preserve">(2) U.S. Bureau of Labor Statistics (BLS), Current Population Survey (CPS) tenure data: Employee Tenure News Release (2014). http://www.bls.gov/news.release/archives/tenure_09182014.htm </t>
  </si>
  <si>
    <t>(3) U.S. Census Bureau, Survey of Income and Program Participation (SIPP): SIPP introduction and history (2019). https://www.census.gov/programs-surveys/sipp/about/sipp-introduction-history.html</t>
  </si>
  <si>
    <t>CASRN 84-61-7</t>
  </si>
  <si>
    <t>An overview of the inhalation and dermal equations utilized to estimate the acute-; intermediate-; and chronic, non-cancer-dose of each Occupational Exposure Scenario (OES) from an estimated concentration or dose to workers and ONUs.</t>
  </si>
  <si>
    <t>The Dashboard is an interactive spreadsheet that allows a user to view exposure results for a selected OES and with a single PPE option of their choosing (i.e. respirator APF or Glove Protection Factor PF). The user can select the desired OES, PPE options and for dermal exposures the worker type (either an average adult or a female of reproductive age) from a drop-down menu. The exposure estimates are shown in the “Exposure Outputs” section for both inhalation and dermal routes and for high-end and central tendency exposures. For inhalation exposures the columns show results for both worker and ONU exposures. The “Risk Estimation” sections are separated into acute, intermediate, and chronic non-cancer sections. For each section there is a brief description of the hazard endpoint and the hazard value i.e. HEC for non-cancer effects from inhalation exposure, HED for non-cancer effects from dermal exposure and the benchmark MOEs are provided to the right of the hazard value. The risk estimations show two columns of risk estimates: one column for exposures without PPE and one column for the results of the user-selected PPE option. These two columns allow the user to compare with and without PPE results side-by-side. The Dashboard automatically shades the MOE cells when they exceed the benchmark MOE value.</t>
  </si>
  <si>
    <t>The RR spreadsheet is an expanded version of the Dashboard. Similar to the Dashboard the RR allows the user to select a OES. However, the user also selected to see results for a worker or ONU and instead of requiring a user to select a single exposure reduction option, the Heat Map displays all the PPE options. The RR spreadsheet has a column each for no PPE and each PPE option (i.e. APF or PF). The RR spreadsheet has a row for each toxicity endpoint, and each row shows the MOE values. Similar to the Dashboard, the RR spreadsheet shades results if the MOE exceeds the benchmark MOE.</t>
  </si>
  <si>
    <t>The Aggregate RR spreadsheet is an expanded version of the Aggregate section of the Dsahboard.  Similar to the Dashboard the RR allows the user to select a OES. However, the user also selected to see results for a worker or ONU and instead of requiring a user to select a single exposure reduction option, the Heat Map displays all the PPE options. The RR spreadsheet has a column each for no PPE and each PPE option (i.e. APF or PF). The RR spreadsheet has a row for each toxicity endpoint, and each row shows the MOE values. Similar to the Dashboard, the RR spreadsheet shades results if the MOE exceeds the benchmark MOE.</t>
  </si>
  <si>
    <t>Inhalation Exposure Calculations</t>
  </si>
  <si>
    <t>Lifetime Years</t>
  </si>
  <si>
    <r>
      <t>C, 8-hr TWA (mg/m</t>
    </r>
    <r>
      <rPr>
        <b/>
        <vertAlign val="superscript"/>
        <sz val="10"/>
        <rFont val="Times New Roman"/>
        <family val="1"/>
      </rPr>
      <t>3</t>
    </r>
    <r>
      <rPr>
        <b/>
        <sz val="10"/>
        <rFont val="Times New Roman"/>
        <family val="1"/>
      </rPr>
      <t>)</t>
    </r>
  </si>
  <si>
    <t>Target Risk Level</t>
  </si>
  <si>
    <t>Other Parameters</t>
  </si>
  <si>
    <t>HED / ADD (non-cancer)</t>
  </si>
  <si>
    <t>December 2025</t>
  </si>
  <si>
    <t>Risk Calculator for Occupational Exposures for Dicyclohexyl Phthalate (DCHP)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</si>
</sst>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00"/>
    <numFmt numFmtId="166" formatCode="0.0E+00"/>
    <numFmt numFmtId="167" formatCode="0.0000"/>
    <numFmt numFmtId="168" formatCode="0.0%"/>
    <numFmt numFmtId="169" formatCode="0.000E+00"/>
    <numFmt numFmtId="170" formatCode="0.00000000"/>
  </numFmts>
  <fonts count="31" x14ac:knownFonts="1">
    <font>
      <sz val="11"/>
      <color theme="1"/>
      <name val="Calibri"/>
      <family val="2"/>
      <scheme val="minor"/>
    </font>
    <font>
      <sz val="10"/>
      <name val="Arial"/>
      <family val="2"/>
    </font>
    <font>
      <sz val="8"/>
      <name val="Calibri"/>
      <family val="2"/>
      <scheme val="minor"/>
    </font>
    <font>
      <sz val="11"/>
      <color theme="1"/>
      <name val="Calibri"/>
      <family val="2"/>
      <scheme val="minor"/>
    </font>
    <font>
      <b/>
      <sz val="16"/>
      <color theme="1"/>
      <name val="Times New Roman"/>
      <family val="1"/>
    </font>
    <font>
      <b/>
      <i/>
      <sz val="14"/>
      <color theme="1"/>
      <name val="Times New Roman"/>
      <family val="1"/>
    </font>
    <font>
      <sz val="10"/>
      <color theme="1"/>
      <name val="Times New Roman"/>
      <family val="1"/>
    </font>
    <font>
      <sz val="11"/>
      <color theme="1"/>
      <name val="Times New Roman"/>
      <family val="1"/>
    </font>
    <font>
      <b/>
      <sz val="10"/>
      <color theme="1"/>
      <name val="Times New Roman"/>
      <family val="1"/>
    </font>
    <font>
      <b/>
      <sz val="10"/>
      <name val="Times New Roman"/>
      <family val="1"/>
    </font>
    <font>
      <b/>
      <vertAlign val="subscript"/>
      <sz val="10"/>
      <name val="Times New Roman"/>
      <family val="1"/>
    </font>
    <font>
      <b/>
      <vertAlign val="superscript"/>
      <sz val="10"/>
      <name val="Times New Roman"/>
      <family val="1"/>
    </font>
    <font>
      <sz val="10"/>
      <name val="Times New Roman"/>
      <family val="1"/>
    </font>
    <font>
      <sz val="10"/>
      <color rgb="FF000000"/>
      <name val="Times New Roman"/>
      <family val="1"/>
    </font>
    <font>
      <b/>
      <i/>
      <sz val="10"/>
      <name val="Times New Roman"/>
      <family val="1"/>
    </font>
    <font>
      <b/>
      <sz val="10"/>
      <color theme="8" tint="0.79998168889431442"/>
      <name val="Times New Roman"/>
      <family val="1"/>
    </font>
    <font>
      <b/>
      <sz val="10"/>
      <color rgb="FF000000"/>
      <name val="Times New Roman"/>
      <family val="1"/>
    </font>
    <font>
      <vertAlign val="superscript"/>
      <sz val="10"/>
      <color theme="1"/>
      <name val="Times New Roman"/>
      <family val="1"/>
    </font>
    <font>
      <sz val="10"/>
      <color rgb="FFFF0000"/>
      <name val="Times New Roman"/>
      <family val="1"/>
    </font>
    <font>
      <sz val="10"/>
      <color theme="0" tint="-4.9989318521683403E-2"/>
      <name val="Times New Roman"/>
      <family val="1"/>
    </font>
    <font>
      <u/>
      <sz val="10"/>
      <color theme="1"/>
      <name val="Times New Roman"/>
      <family val="1"/>
    </font>
    <font>
      <b/>
      <vertAlign val="superscript"/>
      <sz val="10"/>
      <color theme="1"/>
      <name val="Times New Roman"/>
      <family val="1"/>
    </font>
    <font>
      <b/>
      <sz val="10"/>
      <color theme="9" tint="0.79998168889431442"/>
      <name val="Times New Roman"/>
      <family val="1"/>
    </font>
    <font>
      <b/>
      <sz val="12"/>
      <name val="Times New Roman"/>
      <family val="1"/>
    </font>
    <font>
      <i/>
      <sz val="10"/>
      <color theme="1"/>
      <name val="Times New Roman"/>
      <family val="1"/>
    </font>
    <font>
      <b/>
      <sz val="12"/>
      <color theme="1"/>
      <name val="Times New Roman"/>
      <family val="1"/>
    </font>
    <font>
      <b/>
      <i/>
      <sz val="12"/>
      <name val="Times New Roman"/>
      <family val="1"/>
    </font>
    <font>
      <vertAlign val="subscript"/>
      <sz val="10"/>
      <color theme="1"/>
      <name val="Times New Roman"/>
      <family val="1"/>
    </font>
    <font>
      <sz val="10"/>
      <color theme="1"/>
      <name val="Calibri"/>
      <family val="2"/>
      <scheme val="minor"/>
    </font>
    <font>
      <sz val="11"/>
      <color theme="1"/>
      <name val="Calibri"/>
      <family val="2"/>
    </font>
    <font>
      <sz val="11"/>
      <name val="Calibri"/>
      <family val="2"/>
      <scheme val="minor"/>
    </font>
  </fonts>
  <fills count="1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39994506668294322"/>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rgb="FFD9D9D9"/>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0" tint="-0.14999847407452621"/>
        <bgColor indexed="64"/>
      </patternFill>
    </fill>
  </fills>
  <borders count="1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style="thin">
        <color auto="1"/>
      </bottom>
      <diagonal/>
    </border>
    <border>
      <left/>
      <right/>
      <top style="dashed">
        <color auto="1"/>
      </top>
      <bottom/>
      <diagonal/>
    </border>
    <border>
      <left style="thin">
        <color auto="1"/>
      </left>
      <right/>
      <top/>
      <bottom style="dashed">
        <color auto="1"/>
      </bottom>
      <diagonal/>
    </border>
    <border>
      <left/>
      <right/>
      <top/>
      <bottom style="dashed">
        <color auto="1"/>
      </bottom>
      <diagonal/>
    </border>
    <border>
      <left/>
      <right style="thin">
        <color auto="1"/>
      </right>
      <top/>
      <bottom style="dashed">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bottom style="medium">
        <color auto="1"/>
      </bottom>
      <diagonal/>
    </border>
    <border>
      <left style="thin">
        <color auto="1"/>
      </left>
      <right style="thin">
        <color auto="1"/>
      </right>
      <top style="thin">
        <color auto="1"/>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bottom style="medium">
        <color auto="1"/>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indexed="64"/>
      </right>
      <top/>
      <bottom/>
      <diagonal/>
    </border>
    <border>
      <left style="thin">
        <color indexed="64"/>
      </left>
      <right style="medium">
        <color indexed="64"/>
      </right>
      <top/>
      <bottom style="medium">
        <color indexed="64"/>
      </bottom>
      <diagonal/>
    </border>
    <border>
      <left/>
      <right style="medium">
        <color auto="1"/>
      </right>
      <top style="medium">
        <color auto="1"/>
      </top>
      <bottom style="thin">
        <color auto="1"/>
      </bottom>
      <diagonal/>
    </border>
    <border>
      <left style="medium">
        <color indexed="64"/>
      </left>
      <right style="medium">
        <color auto="1"/>
      </right>
      <top style="thin">
        <color indexed="64"/>
      </top>
      <bottom style="medium">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bottom/>
      <diagonal/>
    </border>
    <border>
      <left/>
      <right style="thin">
        <color indexed="64"/>
      </right>
      <top style="medium">
        <color auto="1"/>
      </top>
      <bottom style="thin">
        <color auto="1"/>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thin">
        <color theme="1"/>
      </top>
      <bottom style="thin">
        <color theme="1"/>
      </bottom>
      <diagonal/>
    </border>
    <border>
      <left style="medium">
        <color indexed="64"/>
      </left>
      <right style="medium">
        <color indexed="64"/>
      </right>
      <top style="thin">
        <color theme="1"/>
      </top>
      <bottom style="medium">
        <color indexed="64"/>
      </bottom>
      <diagonal/>
    </border>
    <border>
      <left style="thin">
        <color theme="0" tint="-0.14996795556505021"/>
      </left>
      <right/>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tted">
        <color auto="1"/>
      </left>
      <right style="dotted">
        <color auto="1"/>
      </right>
      <top/>
      <bottom style="dotted">
        <color auto="1"/>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dotted">
        <color auto="1"/>
      </right>
      <top/>
      <bottom/>
      <diagonal/>
    </border>
    <border>
      <left style="medium">
        <color auto="1"/>
      </left>
      <right style="dotted">
        <color auto="1"/>
      </right>
      <top style="medium">
        <color auto="1"/>
      </top>
      <bottom/>
      <diagonal/>
    </border>
    <border>
      <left style="medium">
        <color auto="1"/>
      </left>
      <right style="dotted">
        <color auto="1"/>
      </right>
      <top/>
      <bottom style="medium">
        <color indexed="64"/>
      </bottom>
      <diagonal/>
    </border>
    <border>
      <left style="dotted">
        <color auto="1"/>
      </left>
      <right style="dotted">
        <color auto="1"/>
      </right>
      <top style="medium">
        <color indexed="64"/>
      </top>
      <bottom/>
      <diagonal/>
    </border>
    <border>
      <left style="dotted">
        <color indexed="64"/>
      </left>
      <right style="dotted">
        <color auto="1"/>
      </right>
      <top/>
      <bottom style="medium">
        <color indexed="64"/>
      </bottom>
      <diagonal/>
    </border>
    <border>
      <left/>
      <right style="medium">
        <color indexed="64"/>
      </right>
      <top/>
      <bottom style="medium">
        <color indexed="64"/>
      </bottom>
      <diagonal/>
    </border>
    <border>
      <left/>
      <right/>
      <top style="medium">
        <color auto="1"/>
      </top>
      <bottom style="thin">
        <color auto="1"/>
      </bottom>
      <diagonal/>
    </border>
    <border>
      <left/>
      <right style="thin">
        <color indexed="64"/>
      </right>
      <top style="medium">
        <color indexed="64"/>
      </top>
      <bottom/>
      <diagonal/>
    </border>
    <border>
      <left style="medium">
        <color indexed="64"/>
      </left>
      <right style="medium">
        <color indexed="64"/>
      </right>
      <top style="double">
        <color indexed="64"/>
      </top>
      <bottom style="thin">
        <color indexed="64"/>
      </bottom>
      <diagonal/>
    </border>
    <border>
      <left style="medium">
        <color auto="1"/>
      </left>
      <right/>
      <top/>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dotted">
        <color auto="1"/>
      </left>
      <right/>
      <top style="medium">
        <color auto="1"/>
      </top>
      <bottom/>
      <diagonal/>
    </border>
    <border>
      <left style="dotted">
        <color auto="1"/>
      </left>
      <right/>
      <top/>
      <bottom style="dotted">
        <color auto="1"/>
      </bottom>
      <diagonal/>
    </border>
    <border>
      <left style="dotted">
        <color auto="1"/>
      </left>
      <right style="dotted">
        <color auto="1"/>
      </right>
      <top/>
      <bottom/>
      <diagonal/>
    </border>
    <border>
      <left style="dotted">
        <color auto="1"/>
      </left>
      <right style="medium">
        <color auto="1"/>
      </right>
      <top style="medium">
        <color auto="1"/>
      </top>
      <bottom/>
      <diagonal/>
    </border>
    <border>
      <left style="dotted">
        <color auto="1"/>
      </left>
      <right style="medium">
        <color auto="1"/>
      </right>
      <top/>
      <bottom/>
      <diagonal/>
    </border>
    <border>
      <left style="dotted">
        <color auto="1"/>
      </left>
      <right style="medium">
        <color auto="1"/>
      </right>
      <top/>
      <bottom style="medium">
        <color auto="1"/>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medium">
        <color indexed="64"/>
      </top>
      <bottom/>
      <diagonal/>
    </border>
    <border>
      <left style="medium">
        <color indexed="64"/>
      </left>
      <right style="medium">
        <color indexed="64"/>
      </right>
      <top style="thin">
        <color theme="1"/>
      </top>
      <bottom/>
      <diagonal/>
    </border>
    <border>
      <left/>
      <right style="medium">
        <color indexed="64"/>
      </right>
      <top style="thin">
        <color auto="1"/>
      </top>
      <bottom style="thin">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thin">
        <color auto="1"/>
      </bottom>
      <diagonal/>
    </border>
    <border>
      <left/>
      <right style="thin">
        <color rgb="FF000000"/>
      </right>
      <top style="medium">
        <color auto="1"/>
      </top>
      <bottom style="thin">
        <color rgb="FF000000"/>
      </bottom>
      <diagonal/>
    </border>
    <border>
      <left style="thin">
        <color rgb="FF000000"/>
      </left>
      <right style="thin">
        <color rgb="FF000000"/>
      </right>
      <top style="medium">
        <color auto="1"/>
      </top>
      <bottom style="thin">
        <color rgb="FF000000"/>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auto="1"/>
      </left>
      <right/>
      <top style="thin">
        <color rgb="FF000000"/>
      </top>
      <bottom/>
      <diagonal/>
    </border>
    <border>
      <left style="thin">
        <color auto="1"/>
      </left>
      <right/>
      <top/>
      <bottom style="medium">
        <color rgb="FF000000"/>
      </bottom>
      <diagonal/>
    </border>
    <border>
      <left/>
      <right style="thin">
        <color indexed="64"/>
      </right>
      <top style="thin">
        <color rgb="FF000000"/>
      </top>
      <bottom style="thin">
        <color indexed="64"/>
      </bottom>
      <diagonal/>
    </border>
    <border>
      <left/>
      <right style="thin">
        <color auto="1"/>
      </right>
      <top style="thin">
        <color auto="1"/>
      </top>
      <bottom style="medium">
        <color rgb="FF000000"/>
      </bottom>
      <diagonal/>
    </border>
    <border>
      <left style="medium">
        <color auto="1"/>
      </left>
      <right style="medium">
        <color auto="1"/>
      </right>
      <top style="thin">
        <color auto="1"/>
      </top>
      <bottom/>
      <diagonal/>
    </border>
    <border>
      <left style="thin">
        <color auto="1"/>
      </left>
      <right style="thin">
        <color auto="1"/>
      </right>
      <top style="thin">
        <color auto="1"/>
      </top>
      <bottom style="thin">
        <color rgb="FF000000"/>
      </bottom>
      <diagonal/>
    </border>
    <border>
      <left style="dotted">
        <color auto="1"/>
      </left>
      <right/>
      <top/>
      <bottom/>
      <diagonal/>
    </border>
    <border>
      <left style="medium">
        <color indexed="64"/>
      </left>
      <right/>
      <top style="thin">
        <color indexed="64"/>
      </top>
      <bottom/>
      <diagonal/>
    </border>
    <border>
      <left style="thin">
        <color rgb="FF000000"/>
      </left>
      <right/>
      <top style="medium">
        <color auto="1"/>
      </top>
      <bottom style="thin">
        <color rgb="FF000000"/>
      </bottom>
      <diagonal/>
    </border>
    <border>
      <left style="thin">
        <color rgb="FF000000"/>
      </left>
      <right/>
      <top style="thin">
        <color rgb="FF000000"/>
      </top>
      <bottom style="medium">
        <color indexed="64"/>
      </bottom>
      <diagonal/>
    </border>
  </borders>
  <cellStyleXfs count="3">
    <xf numFmtId="0" fontId="0" fillId="0" borderId="0"/>
    <xf numFmtId="0" fontId="1" fillId="0" borderId="0"/>
    <xf numFmtId="9" fontId="3" fillId="0" borderId="0" applyFont="0" applyFill="0" applyBorder="0" applyAlignment="0" applyProtection="0"/>
  </cellStyleXfs>
  <cellXfs count="542">
    <xf numFmtId="0" fontId="0" fillId="0" borderId="0" xfId="0"/>
    <xf numFmtId="0" fontId="6" fillId="0" borderId="0" xfId="0" applyFont="1"/>
    <xf numFmtId="0" fontId="6" fillId="0" borderId="0" xfId="0" applyFont="1" applyAlignment="1">
      <alignment horizontal="center" vertical="center"/>
    </xf>
    <xf numFmtId="0" fontId="6" fillId="0" borderId="0" xfId="0" applyFont="1" applyAlignment="1">
      <alignment vertical="center"/>
    </xf>
    <xf numFmtId="0" fontId="6" fillId="3" borderId="0" xfId="0" applyFont="1" applyFill="1"/>
    <xf numFmtId="0" fontId="8" fillId="2" borderId="25" xfId="0" applyFont="1" applyFill="1" applyBorder="1" applyAlignment="1">
      <alignment vertical="center" wrapText="1"/>
    </xf>
    <xf numFmtId="0" fontId="8" fillId="2" borderId="31" xfId="0" applyFont="1" applyFill="1" applyBorder="1" applyAlignment="1">
      <alignment vertical="center"/>
    </xf>
    <xf numFmtId="0" fontId="8" fillId="2" borderId="26" xfId="0" applyFont="1" applyFill="1" applyBorder="1" applyAlignment="1">
      <alignment vertical="center" wrapText="1"/>
    </xf>
    <xf numFmtId="0" fontId="12" fillId="0" borderId="0" xfId="0" applyFont="1"/>
    <xf numFmtId="0" fontId="9" fillId="2" borderId="24" xfId="0" applyFont="1" applyFill="1" applyBorder="1" applyAlignment="1">
      <alignment vertical="center" wrapText="1"/>
    </xf>
    <xf numFmtId="0" fontId="9" fillId="2" borderId="3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vertical="center" wrapText="1"/>
    </xf>
    <xf numFmtId="0" fontId="6" fillId="0" borderId="0" xfId="0" applyFont="1" applyAlignment="1">
      <alignment horizontal="center"/>
    </xf>
    <xf numFmtId="0" fontId="6" fillId="3" borderId="0" xfId="0" applyFont="1" applyFill="1" applyAlignment="1">
      <alignment horizontal="center" vertical="center"/>
    </xf>
    <xf numFmtId="0" fontId="6" fillId="3" borderId="0" xfId="0" applyFont="1" applyFill="1" applyAlignment="1">
      <alignment vertical="center" wrapText="1"/>
    </xf>
    <xf numFmtId="0" fontId="6" fillId="3" borderId="0" xfId="0" applyFont="1" applyFill="1" applyAlignment="1">
      <alignment horizontal="center" vertical="center" wrapText="1"/>
    </xf>
    <xf numFmtId="0" fontId="6" fillId="3" borderId="0" xfId="0" applyFont="1" applyFill="1" applyAlignment="1">
      <alignment vertical="center"/>
    </xf>
    <xf numFmtId="0" fontId="14" fillId="4" borderId="84" xfId="0" applyFont="1" applyFill="1" applyBorder="1" applyAlignment="1">
      <alignment horizontal="center" vertical="center" wrapText="1"/>
    </xf>
    <xf numFmtId="0" fontId="12" fillId="3" borderId="0" xfId="0" applyFont="1" applyFill="1" applyAlignment="1">
      <alignment vertical="center"/>
    </xf>
    <xf numFmtId="0" fontId="14" fillId="3" borderId="0" xfId="0" applyFont="1" applyFill="1" applyAlignment="1">
      <alignment vertical="center"/>
    </xf>
    <xf numFmtId="0" fontId="12" fillId="3" borderId="0" xfId="0" applyFont="1" applyFill="1" applyAlignment="1">
      <alignment vertical="center" wrapText="1"/>
    </xf>
    <xf numFmtId="0" fontId="8" fillId="3" borderId="0" xfId="0" applyFont="1" applyFill="1" applyAlignment="1">
      <alignment vertical="center"/>
    </xf>
    <xf numFmtId="0" fontId="12" fillId="2" borderId="22" xfId="0" applyFont="1" applyFill="1" applyBorder="1" applyAlignment="1" applyProtection="1">
      <alignment horizontal="center" vertical="center" wrapText="1"/>
      <protection locked="0"/>
    </xf>
    <xf numFmtId="0" fontId="12" fillId="3" borderId="0" xfId="0" applyFont="1" applyFill="1" applyAlignment="1">
      <alignment horizontal="left" vertical="center" wrapText="1"/>
    </xf>
    <xf numFmtId="0" fontId="9" fillId="5" borderId="16" xfId="0" applyFont="1" applyFill="1" applyBorder="1" applyAlignment="1">
      <alignment horizontal="center" vertical="center" wrapText="1"/>
    </xf>
    <xf numFmtId="0" fontId="12" fillId="3" borderId="0" xfId="0" applyFont="1" applyFill="1" applyAlignment="1">
      <alignment horizontal="center" vertical="center"/>
    </xf>
    <xf numFmtId="0" fontId="9" fillId="5" borderId="32" xfId="0" applyFont="1" applyFill="1" applyBorder="1" applyAlignment="1">
      <alignment horizontal="center" vertical="center" wrapText="1"/>
    </xf>
    <xf numFmtId="0" fontId="6" fillId="0" borderId="33" xfId="0" applyFont="1" applyBorder="1" applyAlignment="1">
      <alignment horizontal="center" vertical="center"/>
    </xf>
    <xf numFmtId="0" fontId="9" fillId="3" borderId="0" xfId="0" applyFont="1" applyFill="1" applyAlignment="1">
      <alignment horizontal="center" vertical="center" wrapText="1"/>
    </xf>
    <xf numFmtId="0" fontId="12" fillId="3" borderId="0" xfId="0" applyFont="1" applyFill="1" applyAlignment="1">
      <alignment horizontal="center" vertical="center" wrapText="1"/>
    </xf>
    <xf numFmtId="0" fontId="9" fillId="3" borderId="0" xfId="0" applyFont="1" applyFill="1" applyAlignment="1">
      <alignment vertical="center" wrapText="1"/>
    </xf>
    <xf numFmtId="0" fontId="9" fillId="3" borderId="0" xfId="0" applyFont="1" applyFill="1" applyAlignment="1">
      <alignment vertical="center"/>
    </xf>
    <xf numFmtId="0" fontId="9" fillId="3" borderId="30" xfId="0" applyFont="1" applyFill="1" applyBorder="1" applyAlignment="1">
      <alignment vertical="center"/>
    </xf>
    <xf numFmtId="0" fontId="8" fillId="8" borderId="47" xfId="0" applyFont="1" applyFill="1" applyBorder="1" applyAlignment="1">
      <alignment horizontal="center" vertical="center"/>
    </xf>
    <xf numFmtId="0" fontId="8" fillId="8" borderId="54" xfId="0" applyFont="1" applyFill="1" applyBorder="1" applyAlignment="1">
      <alignment horizontal="center" vertical="center"/>
    </xf>
    <xf numFmtId="0" fontId="16" fillId="5" borderId="16" xfId="0" applyFont="1" applyFill="1" applyBorder="1" applyAlignment="1">
      <alignment horizontal="center" vertical="center" wrapText="1"/>
    </xf>
    <xf numFmtId="0" fontId="6" fillId="8" borderId="54" xfId="0" applyFont="1" applyFill="1" applyBorder="1" applyAlignment="1">
      <alignment horizontal="left" vertical="center"/>
    </xf>
    <xf numFmtId="2" fontId="12" fillId="0" borderId="24" xfId="0" applyNumberFormat="1" applyFont="1" applyBorder="1" applyAlignment="1">
      <alignment horizontal="center" vertical="center"/>
    </xf>
    <xf numFmtId="2" fontId="12" fillId="0" borderId="28" xfId="0" applyNumberFormat="1" applyFont="1" applyBorder="1" applyAlignment="1">
      <alignment horizontal="center" vertical="center"/>
    </xf>
    <xf numFmtId="0" fontId="6" fillId="3" borderId="16" xfId="0" applyFont="1" applyFill="1" applyBorder="1" applyAlignment="1">
      <alignment vertical="center"/>
    </xf>
    <xf numFmtId="2" fontId="12" fillId="0" borderId="16" xfId="0" applyNumberFormat="1" applyFont="1" applyBorder="1" applyAlignment="1">
      <alignment horizontal="center" vertical="center"/>
    </xf>
    <xf numFmtId="2" fontId="12" fillId="0" borderId="23" xfId="0" applyNumberFormat="1" applyFont="1" applyBorder="1" applyAlignment="1">
      <alignment horizontal="center" vertical="center"/>
    </xf>
    <xf numFmtId="0" fontId="6" fillId="8" borderId="54" xfId="0" applyFont="1" applyFill="1" applyBorder="1" applyAlignment="1">
      <alignment horizontal="left" vertical="center" wrapText="1"/>
    </xf>
    <xf numFmtId="0" fontId="6" fillId="3" borderId="15" xfId="0" applyFont="1" applyFill="1" applyBorder="1" applyAlignment="1">
      <alignment vertical="center"/>
    </xf>
    <xf numFmtId="2" fontId="12" fillId="0" borderId="15" xfId="0" applyNumberFormat="1" applyFont="1" applyBorder="1" applyAlignment="1">
      <alignment horizontal="center" vertical="center"/>
    </xf>
    <xf numFmtId="2" fontId="12" fillId="0" borderId="19" xfId="0" applyNumberFormat="1" applyFont="1" applyBorder="1" applyAlignment="1">
      <alignment horizontal="center" vertical="center"/>
    </xf>
    <xf numFmtId="0" fontId="18" fillId="3" borderId="0" xfId="0" applyFont="1" applyFill="1" applyAlignment="1">
      <alignment horizontal="center" vertical="center"/>
    </xf>
    <xf numFmtId="0" fontId="19" fillId="3" borderId="0" xfId="0" applyFont="1" applyFill="1" applyAlignment="1">
      <alignment vertical="center" wrapText="1"/>
    </xf>
    <xf numFmtId="0" fontId="18" fillId="3" borderId="0" xfId="0" applyFont="1" applyFill="1" applyAlignment="1">
      <alignment vertical="center" wrapText="1"/>
    </xf>
    <xf numFmtId="0" fontId="18" fillId="3" borderId="0" xfId="0" applyFont="1" applyFill="1" applyAlignment="1">
      <alignment horizontal="center" vertical="center" wrapText="1"/>
    </xf>
    <xf numFmtId="0" fontId="19" fillId="3" borderId="0" xfId="0" applyFont="1" applyFill="1" applyAlignment="1">
      <alignment vertical="center"/>
    </xf>
    <xf numFmtId="165" fontId="12" fillId="3" borderId="0" xfId="0" applyNumberFormat="1" applyFont="1" applyFill="1" applyAlignment="1">
      <alignment horizontal="center" vertical="center"/>
    </xf>
    <xf numFmtId="3" fontId="12" fillId="3" borderId="0" xfId="0" applyNumberFormat="1" applyFont="1" applyFill="1" applyAlignment="1">
      <alignment horizontal="center" vertical="center" wrapText="1"/>
    </xf>
    <xf numFmtId="0" fontId="9" fillId="7" borderId="19" xfId="0" applyFont="1" applyFill="1" applyBorder="1" applyAlignment="1">
      <alignment horizontal="center" vertical="center" wrapText="1"/>
    </xf>
    <xf numFmtId="0" fontId="9" fillId="7" borderId="15" xfId="0" applyFont="1" applyFill="1" applyBorder="1" applyAlignment="1">
      <alignment vertical="center" wrapText="1"/>
    </xf>
    <xf numFmtId="1" fontId="9" fillId="7" borderId="15" xfId="0" applyNumberFormat="1" applyFont="1" applyFill="1" applyBorder="1" applyAlignment="1">
      <alignment horizontal="center" vertical="center" wrapText="1"/>
    </xf>
    <xf numFmtId="0" fontId="9" fillId="7" borderId="19" xfId="0" applyFont="1" applyFill="1" applyBorder="1" applyAlignment="1">
      <alignment vertical="center" wrapText="1"/>
    </xf>
    <xf numFmtId="168" fontId="9" fillId="5" borderId="32" xfId="0" applyNumberFormat="1" applyFont="1" applyFill="1" applyBorder="1" applyAlignment="1">
      <alignment horizontal="center" vertical="center" wrapText="1"/>
    </xf>
    <xf numFmtId="165" fontId="12" fillId="0" borderId="15" xfId="0" applyNumberFormat="1" applyFont="1" applyBorder="1" applyAlignment="1">
      <alignment horizontal="center" vertical="center"/>
    </xf>
    <xf numFmtId="2" fontId="12" fillId="0" borderId="44" xfId="0" applyNumberFormat="1" applyFont="1" applyBorder="1" applyAlignment="1">
      <alignment horizontal="center" vertical="center"/>
    </xf>
    <xf numFmtId="165" fontId="12" fillId="0" borderId="37" xfId="0" applyNumberFormat="1" applyFont="1" applyBorder="1" applyAlignment="1">
      <alignment horizontal="center" vertical="center"/>
    </xf>
    <xf numFmtId="2" fontId="12" fillId="0" borderId="78" xfId="0" applyNumberFormat="1" applyFont="1" applyBorder="1" applyAlignment="1">
      <alignment horizontal="center" vertical="center"/>
    </xf>
    <xf numFmtId="165" fontId="12" fillId="0" borderId="16" xfId="0" applyNumberFormat="1" applyFont="1" applyBorder="1" applyAlignment="1">
      <alignment horizontal="center" vertical="center"/>
    </xf>
    <xf numFmtId="0" fontId="12" fillId="3" borderId="30" xfId="0" applyFont="1" applyFill="1" applyBorder="1" applyAlignment="1">
      <alignment horizontal="center" vertical="center" wrapText="1"/>
    </xf>
    <xf numFmtId="1" fontId="12" fillId="0" borderId="15" xfId="0" applyNumberFormat="1" applyFont="1" applyBorder="1" applyAlignment="1">
      <alignment horizontal="center" vertical="center"/>
    </xf>
    <xf numFmtId="1" fontId="12" fillId="0" borderId="19" xfId="0" applyNumberFormat="1" applyFont="1" applyBorder="1" applyAlignment="1">
      <alignment horizontal="center" vertical="center"/>
    </xf>
    <xf numFmtId="2" fontId="12" fillId="3" borderId="0" xfId="0" applyNumberFormat="1" applyFont="1" applyFill="1" applyAlignment="1">
      <alignment horizontal="center" vertical="center"/>
    </xf>
    <xf numFmtId="1" fontId="12" fillId="0" borderId="16" xfId="0" applyNumberFormat="1" applyFont="1" applyBorder="1" applyAlignment="1">
      <alignment horizontal="center" vertical="center"/>
    </xf>
    <xf numFmtId="1" fontId="12" fillId="0" borderId="23" xfId="0" applyNumberFormat="1" applyFont="1" applyBorder="1" applyAlignment="1">
      <alignment horizontal="center" vertical="center"/>
    </xf>
    <xf numFmtId="2" fontId="12" fillId="3" borderId="0" xfId="0" applyNumberFormat="1" applyFont="1" applyFill="1" applyAlignment="1">
      <alignment horizontal="center" vertical="center" wrapText="1"/>
    </xf>
    <xf numFmtId="1" fontId="9" fillId="3" borderId="0" xfId="0" applyNumberFormat="1" applyFont="1" applyFill="1" applyAlignment="1">
      <alignment horizontal="center" vertical="center" wrapText="1"/>
    </xf>
    <xf numFmtId="169" fontId="12" fillId="3" borderId="0" xfId="0" applyNumberFormat="1" applyFont="1" applyFill="1" applyAlignment="1">
      <alignment vertical="center"/>
    </xf>
    <xf numFmtId="11" fontId="12" fillId="3" borderId="0" xfId="0" applyNumberFormat="1" applyFont="1" applyFill="1" applyAlignment="1">
      <alignment vertical="center"/>
    </xf>
    <xf numFmtId="167" fontId="12" fillId="3" borderId="0" xfId="0" applyNumberFormat="1" applyFont="1" applyFill="1" applyAlignment="1">
      <alignment horizontal="center" vertical="center"/>
    </xf>
    <xf numFmtId="0" fontId="14" fillId="5" borderId="36" xfId="0" applyFont="1" applyFill="1" applyBorder="1" applyAlignment="1">
      <alignment horizontal="center" vertical="center" wrapText="1"/>
    </xf>
    <xf numFmtId="0" fontId="9" fillId="5" borderId="3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12" fillId="2" borderId="59" xfId="0" applyFont="1" applyFill="1" applyBorder="1" applyAlignment="1" applyProtection="1">
      <alignment horizontal="center" vertical="center" wrapText="1"/>
      <protection locked="0"/>
    </xf>
    <xf numFmtId="1" fontId="12" fillId="2" borderId="16" xfId="2" applyNumberFormat="1" applyFont="1" applyFill="1" applyBorder="1" applyAlignment="1" applyProtection="1">
      <alignment horizontal="center" vertical="center" wrapText="1"/>
      <protection locked="0"/>
    </xf>
    <xf numFmtId="0" fontId="12" fillId="2" borderId="23" xfId="0" applyFont="1" applyFill="1" applyBorder="1" applyAlignment="1" applyProtection="1">
      <alignment horizontal="center" vertical="center" wrapText="1"/>
      <protection locked="0"/>
    </xf>
    <xf numFmtId="1" fontId="12" fillId="3" borderId="0" xfId="2" applyNumberFormat="1" applyFont="1" applyFill="1" applyBorder="1" applyAlignment="1">
      <alignment horizontal="center" vertical="center" wrapText="1"/>
    </xf>
    <xf numFmtId="0" fontId="22" fillId="3" borderId="30" xfId="0" applyFont="1" applyFill="1" applyBorder="1" applyAlignment="1">
      <alignment vertical="center"/>
    </xf>
    <xf numFmtId="0" fontId="22" fillId="3" borderId="0" xfId="0" applyFont="1" applyFill="1" applyAlignment="1">
      <alignment vertical="center"/>
    </xf>
    <xf numFmtId="0" fontId="9" fillId="3" borderId="30" xfId="0" applyFont="1" applyFill="1" applyBorder="1" applyAlignment="1">
      <alignment horizontal="center" vertical="center" wrapText="1"/>
    </xf>
    <xf numFmtId="165" fontId="9" fillId="3" borderId="30" xfId="0" applyNumberFormat="1" applyFont="1" applyFill="1" applyBorder="1" applyAlignment="1">
      <alignment vertical="center" wrapText="1"/>
    </xf>
    <xf numFmtId="0" fontId="9" fillId="3" borderId="30" xfId="0" applyFont="1" applyFill="1" applyBorder="1" applyAlignment="1">
      <alignment vertical="center" wrapText="1"/>
    </xf>
    <xf numFmtId="0" fontId="6" fillId="0" borderId="0" xfId="0" applyFont="1" applyAlignment="1">
      <alignment vertical="center" wrapText="1"/>
    </xf>
    <xf numFmtId="0" fontId="8" fillId="3" borderId="0" xfId="0" applyFont="1" applyFill="1"/>
    <xf numFmtId="0" fontId="6" fillId="3" borderId="2" xfId="0" applyFont="1" applyFill="1" applyBorder="1"/>
    <xf numFmtId="0" fontId="6" fillId="3" borderId="3" xfId="0" applyFont="1" applyFill="1" applyBorder="1"/>
    <xf numFmtId="0" fontId="12" fillId="3" borderId="0" xfId="0" applyFont="1" applyFill="1"/>
    <xf numFmtId="0" fontId="9" fillId="3" borderId="13" xfId="0" applyFont="1" applyFill="1" applyBorder="1" applyAlignment="1">
      <alignment horizontal="center"/>
    </xf>
    <xf numFmtId="0" fontId="9" fillId="3" borderId="13" xfId="0" applyFont="1" applyFill="1" applyBorder="1" applyAlignment="1">
      <alignment horizontal="center" wrapText="1"/>
    </xf>
    <xf numFmtId="0" fontId="8" fillId="3" borderId="12" xfId="0" applyFont="1" applyFill="1" applyBorder="1" applyAlignment="1">
      <alignment horizontal="center" wrapText="1"/>
    </xf>
    <xf numFmtId="0" fontId="8" fillId="3" borderId="13" xfId="0" applyFont="1" applyFill="1" applyBorder="1" applyAlignment="1">
      <alignment horizontal="center" wrapText="1"/>
    </xf>
    <xf numFmtId="0" fontId="8" fillId="3" borderId="14" xfId="0" applyFont="1" applyFill="1" applyBorder="1" applyAlignment="1">
      <alignment horizontal="center" wrapText="1"/>
    </xf>
    <xf numFmtId="0" fontId="12" fillId="3" borderId="11" xfId="0" applyFont="1" applyFill="1" applyBorder="1" applyAlignment="1">
      <alignment horizontal="left"/>
    </xf>
    <xf numFmtId="0" fontId="6" fillId="3" borderId="0" xfId="0" applyFont="1" applyFill="1" applyAlignment="1">
      <alignment horizontal="left" vertical="center" wrapText="1"/>
    </xf>
    <xf numFmtId="0" fontId="6" fillId="3" borderId="11" xfId="0" applyFont="1" applyFill="1" applyBorder="1" applyAlignment="1">
      <alignment vertical="center" wrapText="1"/>
    </xf>
    <xf numFmtId="0" fontId="12" fillId="3" borderId="11" xfId="0" applyFont="1" applyFill="1" applyBorder="1" applyAlignment="1">
      <alignment horizontal="center" vertical="center"/>
    </xf>
    <xf numFmtId="2" fontId="12" fillId="3" borderId="11" xfId="0" applyNumberFormat="1" applyFont="1" applyFill="1" applyBorder="1" applyAlignment="1">
      <alignment horizontal="center" vertical="center"/>
    </xf>
    <xf numFmtId="164" fontId="12" fillId="3" borderId="11" xfId="0" applyNumberFormat="1" applyFont="1" applyFill="1" applyBorder="1" applyAlignment="1">
      <alignment horizontal="center" vertical="center"/>
    </xf>
    <xf numFmtId="0" fontId="12" fillId="3" borderId="11" xfId="0" quotePrefix="1" applyFont="1" applyFill="1" applyBorder="1" applyAlignment="1">
      <alignment horizontal="center" vertical="center"/>
    </xf>
    <xf numFmtId="1" fontId="12" fillId="3" borderId="11" xfId="0" quotePrefix="1" applyNumberFormat="1" applyFont="1" applyFill="1" applyBorder="1" applyAlignment="1">
      <alignment horizontal="center" vertical="center"/>
    </xf>
    <xf numFmtId="0" fontId="6" fillId="3" borderId="5" xfId="0" applyFont="1" applyFill="1" applyBorder="1"/>
    <xf numFmtId="166" fontId="6" fillId="3" borderId="7" xfId="0" applyNumberFormat="1" applyFont="1" applyFill="1" applyBorder="1"/>
    <xf numFmtId="0" fontId="12" fillId="3" borderId="0" xfId="0" applyFont="1" applyFill="1" applyAlignment="1">
      <alignment horizontal="left" vertical="center"/>
    </xf>
    <xf numFmtId="0" fontId="12" fillId="3" borderId="0" xfId="0" quotePrefix="1" applyFont="1" applyFill="1" applyAlignment="1">
      <alignment horizontal="center" vertical="center"/>
    </xf>
    <xf numFmtId="164" fontId="12" fillId="3" borderId="0" xfId="0" quotePrefix="1" applyNumberFormat="1" applyFont="1" applyFill="1" applyAlignment="1">
      <alignment horizontal="center" vertical="center"/>
    </xf>
    <xf numFmtId="0" fontId="6" fillId="3" borderId="8" xfId="0" applyFont="1" applyFill="1" applyBorder="1"/>
    <xf numFmtId="0" fontId="6" fillId="3" borderId="7" xfId="0" applyFont="1" applyFill="1" applyBorder="1"/>
    <xf numFmtId="0" fontId="8" fillId="3" borderId="3" xfId="0" applyFont="1" applyFill="1" applyBorder="1"/>
    <xf numFmtId="0" fontId="6" fillId="3" borderId="7" xfId="0" applyFont="1" applyFill="1" applyBorder="1" applyAlignment="1">
      <alignment wrapText="1"/>
    </xf>
    <xf numFmtId="0" fontId="6" fillId="3" borderId="11" xfId="0" applyFont="1" applyFill="1" applyBorder="1" applyAlignment="1">
      <alignment horizontal="center" vertical="center" wrapText="1"/>
    </xf>
    <xf numFmtId="0" fontId="8" fillId="3" borderId="0" xfId="0" applyFont="1" applyFill="1" applyAlignment="1">
      <alignment horizontal="center" wrapText="1"/>
    </xf>
    <xf numFmtId="0" fontId="6" fillId="3" borderId="6" xfId="0" applyFont="1" applyFill="1" applyBorder="1"/>
    <xf numFmtId="0" fontId="6" fillId="3" borderId="9" xfId="0" applyFont="1" applyFill="1" applyBorder="1"/>
    <xf numFmtId="0" fontId="6" fillId="3" borderId="11" xfId="0" applyFont="1" applyFill="1" applyBorder="1" applyAlignment="1">
      <alignment horizontal="left" vertical="center" wrapText="1"/>
    </xf>
    <xf numFmtId="0" fontId="6" fillId="3" borderId="11" xfId="0" quotePrefix="1" applyFont="1" applyFill="1" applyBorder="1" applyAlignment="1">
      <alignment horizontal="center" vertical="center"/>
    </xf>
    <xf numFmtId="0" fontId="6" fillId="3" borderId="0" xfId="0" applyFont="1" applyFill="1" applyAlignment="1">
      <alignment horizontal="left"/>
    </xf>
    <xf numFmtId="0" fontId="6" fillId="3" borderId="11" xfId="0" applyFont="1" applyFill="1" applyBorder="1"/>
    <xf numFmtId="0" fontId="6" fillId="3" borderId="11" xfId="0" applyFont="1" applyFill="1" applyBorder="1" applyAlignment="1">
      <alignment horizontal="center"/>
    </xf>
    <xf numFmtId="165" fontId="6" fillId="3" borderId="1" xfId="0" applyNumberFormat="1" applyFont="1" applyFill="1" applyBorder="1"/>
    <xf numFmtId="0" fontId="6" fillId="3" borderId="1" xfId="0" applyFont="1" applyFill="1" applyBorder="1"/>
    <xf numFmtId="165" fontId="12" fillId="3" borderId="0" xfId="0" applyNumberFormat="1" applyFont="1" applyFill="1" applyAlignment="1">
      <alignment horizontal="center" vertical="center" wrapText="1"/>
    </xf>
    <xf numFmtId="0" fontId="6" fillId="0" borderId="1" xfId="0" applyFont="1" applyBorder="1" applyAlignment="1">
      <alignment vertical="center"/>
    </xf>
    <xf numFmtId="0" fontId="6" fillId="0" borderId="21" xfId="0" applyFont="1" applyBorder="1" applyAlignment="1">
      <alignment horizontal="center" vertical="center"/>
    </xf>
    <xf numFmtId="0" fontId="6" fillId="0" borderId="71" xfId="0" applyFont="1" applyBorder="1" applyAlignment="1">
      <alignment horizontal="center" vertical="center"/>
    </xf>
    <xf numFmtId="0" fontId="6" fillId="0" borderId="20" xfId="0" applyFont="1" applyBorder="1" applyAlignment="1">
      <alignment horizontal="center" vertical="center"/>
    </xf>
    <xf numFmtId="0" fontId="6" fillId="10" borderId="0" xfId="0" applyFont="1" applyFill="1" applyAlignment="1">
      <alignment vertical="center" wrapText="1"/>
    </xf>
    <xf numFmtId="0" fontId="12" fillId="10" borderId="0" xfId="1" applyFont="1" applyFill="1"/>
    <xf numFmtId="0" fontId="6" fillId="10" borderId="0" xfId="0" applyFont="1" applyFill="1" applyAlignment="1">
      <alignment wrapText="1"/>
    </xf>
    <xf numFmtId="0" fontId="12" fillId="0" borderId="35" xfId="1" applyFont="1" applyBorder="1" applyAlignment="1">
      <alignment vertical="center" wrapText="1"/>
    </xf>
    <xf numFmtId="0" fontId="12" fillId="0" borderId="24" xfId="1" applyFont="1" applyBorder="1" applyAlignment="1">
      <alignment horizontal="center" vertical="center" wrapText="1"/>
    </xf>
    <xf numFmtId="0" fontId="12" fillId="0" borderId="28" xfId="1" applyFont="1" applyBorder="1" applyAlignment="1">
      <alignment vertical="center" wrapText="1"/>
    </xf>
    <xf numFmtId="0" fontId="12" fillId="0" borderId="22" xfId="1" applyFont="1" applyBorder="1" applyAlignment="1">
      <alignment vertical="center" wrapText="1"/>
    </xf>
    <xf numFmtId="0" fontId="12" fillId="0" borderId="16" xfId="1" applyFont="1" applyBorder="1" applyAlignment="1">
      <alignment horizontal="center" vertical="center" wrapText="1"/>
    </xf>
    <xf numFmtId="0" fontId="12" fillId="0" borderId="23" xfId="1" applyFont="1" applyBorder="1" applyAlignment="1">
      <alignment vertical="center" wrapText="1"/>
    </xf>
    <xf numFmtId="0" fontId="12" fillId="0" borderId="65" xfId="1" applyFont="1" applyBorder="1" applyAlignment="1">
      <alignment vertical="center" wrapText="1"/>
    </xf>
    <xf numFmtId="0" fontId="12" fillId="0" borderId="66" xfId="1" applyFont="1" applyBorder="1" applyAlignment="1">
      <alignment horizontal="center" vertical="center" wrapText="1"/>
    </xf>
    <xf numFmtId="0" fontId="12" fillId="0" borderId="67" xfId="1" applyFont="1" applyBorder="1" applyAlignment="1">
      <alignment vertical="center" wrapText="1"/>
    </xf>
    <xf numFmtId="0" fontId="12" fillId="0" borderId="20" xfId="1" applyFont="1" applyBorder="1" applyAlignment="1">
      <alignment vertical="center" wrapText="1"/>
    </xf>
    <xf numFmtId="0" fontId="12" fillId="0" borderId="1" xfId="1" applyFont="1" applyBorder="1" applyAlignment="1">
      <alignment horizontal="center" vertical="center" wrapText="1"/>
    </xf>
    <xf numFmtId="0" fontId="12" fillId="0" borderId="21" xfId="1" applyFont="1" applyBorder="1" applyAlignment="1">
      <alignment vertical="center" wrapText="1"/>
    </xf>
    <xf numFmtId="3" fontId="12" fillId="0" borderId="1" xfId="1" applyNumberFormat="1" applyFont="1" applyBorder="1" applyAlignment="1">
      <alignment horizontal="center" vertical="center" wrapText="1"/>
    </xf>
    <xf numFmtId="0" fontId="16" fillId="3" borderId="82" xfId="0" applyFont="1" applyFill="1" applyBorder="1" applyAlignment="1">
      <alignment horizontal="left" vertical="center" wrapText="1"/>
    </xf>
    <xf numFmtId="3" fontId="12" fillId="0" borderId="16" xfId="1" applyNumberFormat="1" applyFont="1" applyBorder="1" applyAlignment="1">
      <alignment horizontal="center" vertical="center" wrapText="1"/>
    </xf>
    <xf numFmtId="0" fontId="6" fillId="0" borderId="31" xfId="0" applyFont="1" applyBorder="1" applyAlignment="1">
      <alignment vertical="center"/>
    </xf>
    <xf numFmtId="0" fontId="6" fillId="0" borderId="32" xfId="0" applyFont="1" applyBorder="1" applyAlignment="1">
      <alignment horizontal="center" vertical="center"/>
    </xf>
    <xf numFmtId="0" fontId="6" fillId="0" borderId="37" xfId="0" applyFont="1" applyBorder="1" applyAlignment="1">
      <alignment vertical="center"/>
    </xf>
    <xf numFmtId="0" fontId="6" fillId="0" borderId="23" xfId="0" applyFont="1" applyBorder="1" applyAlignment="1">
      <alignment horizontal="center" vertical="center"/>
    </xf>
    <xf numFmtId="0" fontId="6" fillId="0" borderId="39" xfId="0" applyFont="1" applyBorder="1" applyAlignment="1">
      <alignment horizontal="center" vertical="center"/>
    </xf>
    <xf numFmtId="0" fontId="6" fillId="10" borderId="0" xfId="0" applyFont="1" applyFill="1"/>
    <xf numFmtId="0" fontId="9" fillId="9" borderId="47" xfId="1" applyFont="1" applyFill="1" applyBorder="1" applyAlignment="1">
      <alignment horizontal="center" vertical="center" wrapText="1"/>
    </xf>
    <xf numFmtId="0" fontId="9" fillId="9" borderId="60" xfId="1" applyFont="1" applyFill="1" applyBorder="1" applyAlignment="1">
      <alignment horizontal="center" vertical="center" wrapText="1"/>
    </xf>
    <xf numFmtId="0" fontId="6" fillId="10" borderId="64" xfId="0" applyFont="1" applyFill="1" applyBorder="1" applyAlignment="1">
      <alignment horizontal="center" vertical="center"/>
    </xf>
    <xf numFmtId="0" fontId="6" fillId="0" borderId="46" xfId="0" applyFont="1" applyBorder="1" applyAlignment="1">
      <alignment horizontal="left" vertical="center" indent="1"/>
    </xf>
    <xf numFmtId="0" fontId="6" fillId="0" borderId="46" xfId="0" applyFont="1" applyBorder="1"/>
    <xf numFmtId="9" fontId="6" fillId="0" borderId="46" xfId="0" applyNumberFormat="1" applyFont="1" applyBorder="1"/>
    <xf numFmtId="0" fontId="6" fillId="0" borderId="45" xfId="0" applyFont="1" applyBorder="1"/>
    <xf numFmtId="9" fontId="6" fillId="0" borderId="45" xfId="0" applyNumberFormat="1" applyFont="1" applyBorder="1"/>
    <xf numFmtId="0" fontId="9" fillId="9" borderId="61" xfId="1" applyFont="1" applyFill="1" applyBorder="1" applyAlignment="1">
      <alignment horizontal="center" vertical="center" wrapText="1"/>
    </xf>
    <xf numFmtId="0" fontId="6" fillId="0" borderId="62" xfId="0" applyFont="1" applyBorder="1"/>
    <xf numFmtId="0" fontId="6" fillId="0" borderId="63" xfId="0" applyFont="1" applyBorder="1"/>
    <xf numFmtId="9" fontId="6" fillId="0" borderId="46" xfId="0" applyNumberFormat="1" applyFont="1" applyBorder="1" applyAlignment="1">
      <alignment horizontal="center"/>
    </xf>
    <xf numFmtId="9" fontId="6" fillId="0" borderId="45" xfId="0" applyNumberFormat="1" applyFont="1" applyBorder="1" applyAlignment="1">
      <alignment horizontal="center"/>
    </xf>
    <xf numFmtId="0" fontId="6" fillId="0" borderId="45" xfId="0" applyFont="1" applyBorder="1" applyAlignment="1">
      <alignment horizontal="left" vertical="center" indent="1"/>
    </xf>
    <xf numFmtId="0" fontId="6" fillId="0" borderId="81" xfId="0" applyFont="1" applyBorder="1"/>
    <xf numFmtId="0" fontId="8" fillId="6" borderId="47" xfId="0" applyFont="1" applyFill="1" applyBorder="1" applyAlignment="1">
      <alignment horizontal="center" vertical="center" wrapText="1"/>
    </xf>
    <xf numFmtId="0" fontId="8" fillId="6" borderId="27" xfId="0" applyFont="1" applyFill="1" applyBorder="1" applyAlignment="1">
      <alignment horizontal="center" vertical="center" wrapText="1"/>
    </xf>
    <xf numFmtId="0" fontId="8" fillId="6" borderId="51" xfId="0" applyFont="1" applyFill="1" applyBorder="1" applyAlignment="1">
      <alignment horizontal="left" wrapText="1"/>
    </xf>
    <xf numFmtId="0" fontId="6" fillId="3" borderId="17" xfId="0" applyFont="1" applyFill="1" applyBorder="1" applyAlignment="1">
      <alignment horizontal="center"/>
    </xf>
    <xf numFmtId="164" fontId="6" fillId="3" borderId="15" xfId="0" applyNumberFormat="1" applyFont="1" applyFill="1" applyBorder="1" applyAlignment="1">
      <alignment horizontal="center"/>
    </xf>
    <xf numFmtId="0" fontId="6" fillId="3" borderId="20" xfId="0" applyFont="1" applyFill="1" applyBorder="1" applyAlignment="1">
      <alignment horizontal="center"/>
    </xf>
    <xf numFmtId="0" fontId="6" fillId="3" borderId="1" xfId="0" applyFont="1" applyFill="1" applyBorder="1" applyAlignment="1">
      <alignment horizontal="center"/>
    </xf>
    <xf numFmtId="3" fontId="6" fillId="0" borderId="20" xfId="0" applyNumberFormat="1" applyFont="1" applyBorder="1" applyAlignment="1">
      <alignment horizontal="center" vertical="center"/>
    </xf>
    <xf numFmtId="1" fontId="6" fillId="3" borderId="1" xfId="0" applyNumberFormat="1" applyFont="1" applyFill="1" applyBorder="1" applyAlignment="1">
      <alignment horizontal="center"/>
    </xf>
    <xf numFmtId="0" fontId="8" fillId="6" borderId="59" xfId="0" applyFont="1" applyFill="1" applyBorder="1" applyAlignment="1">
      <alignment horizontal="left" wrapText="1"/>
    </xf>
    <xf numFmtId="0" fontId="6" fillId="3" borderId="59" xfId="0" applyFont="1" applyFill="1" applyBorder="1"/>
    <xf numFmtId="0" fontId="6" fillId="3" borderId="83" xfId="0" applyFont="1" applyFill="1" applyBorder="1"/>
    <xf numFmtId="0" fontId="24" fillId="3" borderId="0" xfId="0" applyFont="1" applyFill="1"/>
    <xf numFmtId="0" fontId="25" fillId="3" borderId="0" xfId="0" applyFont="1" applyFill="1"/>
    <xf numFmtId="0" fontId="26" fillId="3" borderId="0" xfId="0" applyFont="1" applyFill="1" applyAlignment="1">
      <alignment vertical="center"/>
    </xf>
    <xf numFmtId="0" fontId="25" fillId="3" borderId="0" xfId="0" applyFont="1" applyFill="1" applyAlignment="1">
      <alignment vertical="center"/>
    </xf>
    <xf numFmtId="0" fontId="23" fillId="3" borderId="0" xfId="0" applyFont="1" applyFill="1" applyAlignment="1">
      <alignment vertical="center"/>
    </xf>
    <xf numFmtId="0" fontId="23" fillId="3" borderId="30" xfId="0" applyFont="1" applyFill="1" applyBorder="1" applyAlignment="1">
      <alignment vertical="center"/>
    </xf>
    <xf numFmtId="0" fontId="25" fillId="0" borderId="0" xfId="0" applyFont="1" applyAlignment="1">
      <alignment vertical="center"/>
    </xf>
    <xf numFmtId="0" fontId="6" fillId="3" borderId="1" xfId="0" applyFont="1" applyFill="1" applyBorder="1" applyAlignment="1">
      <alignment vertical="center"/>
    </xf>
    <xf numFmtId="2" fontId="12" fillId="0" borderId="1" xfId="0" applyNumberFormat="1" applyFont="1" applyBorder="1" applyAlignment="1">
      <alignment horizontal="center" vertical="center"/>
    </xf>
    <xf numFmtId="0" fontId="16" fillId="5" borderId="1" xfId="0" applyFont="1" applyFill="1" applyBorder="1" applyAlignment="1">
      <alignment horizontal="center"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2" fontId="12" fillId="0" borderId="21" xfId="0" applyNumberFormat="1" applyFont="1" applyBorder="1" applyAlignment="1">
      <alignment horizontal="center" vertical="center"/>
    </xf>
    <xf numFmtId="0" fontId="16" fillId="5" borderId="24"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16" fillId="5" borderId="31" xfId="0" applyFont="1" applyFill="1" applyBorder="1" applyAlignment="1">
      <alignment horizontal="center" vertical="center" wrapText="1"/>
    </xf>
    <xf numFmtId="2" fontId="12" fillId="0" borderId="31" xfId="0" applyNumberFormat="1" applyFont="1" applyBorder="1" applyAlignment="1">
      <alignment horizontal="center" vertical="center"/>
    </xf>
    <xf numFmtId="2" fontId="12" fillId="0" borderId="32" xfId="0" applyNumberFormat="1" applyFont="1" applyBorder="1" applyAlignment="1">
      <alignment horizontal="center" vertical="center"/>
    </xf>
    <xf numFmtId="0" fontId="8" fillId="6" borderId="1" xfId="0" applyFont="1" applyFill="1" applyBorder="1" applyAlignment="1">
      <alignment horizontal="center"/>
    </xf>
    <xf numFmtId="0" fontId="6" fillId="3" borderId="1" xfId="0" applyFont="1" applyFill="1" applyBorder="1" applyAlignment="1">
      <alignment horizontal="left"/>
    </xf>
    <xf numFmtId="0" fontId="6" fillId="3" borderId="1" xfId="0" applyFont="1" applyFill="1" applyBorder="1" applyAlignment="1">
      <alignment horizontal="left" wrapText="1"/>
    </xf>
    <xf numFmtId="0" fontId="8" fillId="3" borderId="31" xfId="0" applyFont="1" applyFill="1" applyBorder="1" applyAlignment="1">
      <alignment horizontal="left"/>
    </xf>
    <xf numFmtId="0" fontId="8" fillId="3" borderId="24" xfId="0" applyFont="1" applyFill="1" applyBorder="1" applyAlignment="1">
      <alignment horizontal="left"/>
    </xf>
    <xf numFmtId="0" fontId="6" fillId="3" borderId="1" xfId="0" quotePrefix="1" applyFont="1" applyFill="1" applyBorder="1" applyAlignment="1">
      <alignment wrapText="1"/>
    </xf>
    <xf numFmtId="0" fontId="6" fillId="3" borderId="1" xfId="0" quotePrefix="1" applyFont="1" applyFill="1" applyBorder="1" applyAlignment="1">
      <alignment vertical="center" wrapText="1"/>
    </xf>
    <xf numFmtId="11" fontId="6" fillId="3" borderId="0" xfId="0" applyNumberFormat="1" applyFont="1" applyFill="1" applyAlignment="1">
      <alignment horizontal="center" vertical="center"/>
    </xf>
    <xf numFmtId="2" fontId="6" fillId="3" borderId="0" xfId="0" applyNumberFormat="1" applyFont="1" applyFill="1" applyAlignment="1">
      <alignment horizontal="center" vertical="center"/>
    </xf>
    <xf numFmtId="0" fontId="8" fillId="3" borderId="0" xfId="0" applyFont="1" applyFill="1" applyAlignment="1">
      <alignment vertical="center" wrapText="1"/>
    </xf>
    <xf numFmtId="0" fontId="8" fillId="3" borderId="0" xfId="0" applyFont="1" applyFill="1" applyAlignment="1">
      <alignment horizontal="center" vertical="center"/>
    </xf>
    <xf numFmtId="0" fontId="16" fillId="3" borderId="0" xfId="0" applyFont="1" applyFill="1" applyAlignment="1">
      <alignment horizontal="left" vertical="center" wrapText="1"/>
    </xf>
    <xf numFmtId="0" fontId="8" fillId="3" borderId="0" xfId="0" applyFont="1" applyFill="1" applyAlignment="1">
      <alignment horizontal="center" vertical="center" wrapText="1"/>
    </xf>
    <xf numFmtId="11" fontId="6" fillId="3" borderId="0" xfId="0" applyNumberFormat="1" applyFont="1" applyFill="1" applyAlignment="1">
      <alignment horizontal="center" vertical="center" wrapText="1"/>
    </xf>
    <xf numFmtId="2" fontId="12" fillId="0" borderId="37" xfId="0" applyNumberFormat="1" applyFont="1" applyBorder="1" applyAlignment="1">
      <alignment horizontal="center" vertical="center"/>
    </xf>
    <xf numFmtId="2" fontId="6" fillId="0" borderId="15" xfId="0" applyNumberFormat="1" applyFont="1" applyBorder="1" applyAlignment="1">
      <alignment horizontal="center" vertical="center"/>
    </xf>
    <xf numFmtId="2" fontId="6" fillId="0" borderId="16" xfId="0" applyNumberFormat="1" applyFont="1" applyBorder="1" applyAlignment="1">
      <alignment horizontal="center" vertical="center"/>
    </xf>
    <xf numFmtId="2" fontId="12" fillId="0" borderId="43" xfId="0" applyNumberFormat="1" applyFont="1" applyBorder="1" applyAlignment="1">
      <alignment horizontal="center" vertical="center"/>
    </xf>
    <xf numFmtId="0" fontId="6" fillId="3" borderId="18" xfId="0" applyFont="1" applyFill="1" applyBorder="1"/>
    <xf numFmtId="0" fontId="6" fillId="3" borderId="52" xfId="0" applyFont="1" applyFill="1" applyBorder="1"/>
    <xf numFmtId="0" fontId="6" fillId="3" borderId="29" xfId="0" applyFont="1" applyFill="1" applyBorder="1"/>
    <xf numFmtId="0" fontId="8" fillId="6" borderId="91" xfId="0" applyFont="1" applyFill="1" applyBorder="1" applyAlignment="1">
      <alignment horizontal="center" vertical="center" wrapText="1"/>
    </xf>
    <xf numFmtId="0" fontId="6" fillId="3" borderId="93" xfId="0" applyFont="1" applyFill="1" applyBorder="1" applyAlignment="1">
      <alignment wrapText="1"/>
    </xf>
    <xf numFmtId="0" fontId="6" fillId="3" borderId="94" xfId="0" applyFont="1" applyFill="1" applyBorder="1" applyAlignment="1">
      <alignment wrapText="1"/>
    </xf>
    <xf numFmtId="0" fontId="6" fillId="0" borderId="7" xfId="0" applyFont="1" applyBorder="1"/>
    <xf numFmtId="2" fontId="6" fillId="0" borderId="25" xfId="0" applyNumberFormat="1" applyFont="1" applyBorder="1" applyAlignment="1">
      <alignment horizontal="center" vertical="center"/>
    </xf>
    <xf numFmtId="0" fontId="6" fillId="0" borderId="55" xfId="0" applyFont="1" applyBorder="1" applyAlignment="1">
      <alignment vertical="center" wrapText="1"/>
    </xf>
    <xf numFmtId="2" fontId="6" fillId="3" borderId="0" xfId="0" applyNumberFormat="1" applyFont="1" applyFill="1" applyAlignment="1">
      <alignment vertical="center"/>
    </xf>
    <xf numFmtId="0" fontId="6" fillId="0" borderId="56" xfId="0" applyFont="1" applyBorder="1" applyAlignment="1">
      <alignment vertical="center" wrapText="1"/>
    </xf>
    <xf numFmtId="2" fontId="6" fillId="0" borderId="40" xfId="0" applyNumberFormat="1" applyFont="1" applyBorder="1" applyAlignment="1">
      <alignment horizontal="center" vertical="center"/>
    </xf>
    <xf numFmtId="0" fontId="6" fillId="0" borderId="36" xfId="0" applyFont="1" applyBorder="1" applyAlignment="1">
      <alignment vertical="center" wrapText="1"/>
    </xf>
    <xf numFmtId="0" fontId="6" fillId="0" borderId="98" xfId="0" applyFont="1" applyBorder="1"/>
    <xf numFmtId="0" fontId="16" fillId="3" borderId="0" xfId="0" applyFont="1" applyFill="1" applyAlignment="1">
      <alignment horizontal="center" vertical="center" wrapText="1"/>
    </xf>
    <xf numFmtId="0" fontId="28" fillId="3" borderId="0" xfId="0" applyFont="1" applyFill="1" applyAlignment="1">
      <alignment horizontal="left" vertical="center"/>
    </xf>
    <xf numFmtId="0" fontId="6" fillId="3" borderId="17" xfId="0" applyFont="1" applyFill="1" applyBorder="1" applyAlignment="1">
      <alignment vertical="center"/>
    </xf>
    <xf numFmtId="0" fontId="6" fillId="3" borderId="22" xfId="0" applyFont="1" applyFill="1" applyBorder="1" applyAlignment="1">
      <alignment vertical="center"/>
    </xf>
    <xf numFmtId="0" fontId="16" fillId="5" borderId="32" xfId="0" applyFont="1" applyFill="1" applyBorder="1" applyAlignment="1">
      <alignment horizontal="center" vertical="center" wrapText="1"/>
    </xf>
    <xf numFmtId="165" fontId="12" fillId="0" borderId="15" xfId="0" applyNumberFormat="1" applyFont="1" applyBorder="1" applyAlignment="1">
      <alignment horizontal="center" vertical="center" wrapText="1"/>
    </xf>
    <xf numFmtId="165" fontId="12" fillId="0" borderId="37" xfId="0" applyNumberFormat="1" applyFont="1" applyBorder="1" applyAlignment="1">
      <alignment horizontal="center" vertical="center" wrapText="1"/>
    </xf>
    <xf numFmtId="165" fontId="12" fillId="0" borderId="19" xfId="0" applyNumberFormat="1" applyFont="1" applyBorder="1" applyAlignment="1">
      <alignment horizontal="center" vertical="center"/>
    </xf>
    <xf numFmtId="165" fontId="12" fillId="0" borderId="43" xfId="0" applyNumberFormat="1" applyFont="1" applyBorder="1" applyAlignment="1">
      <alignment horizontal="center" vertical="center"/>
    </xf>
    <xf numFmtId="0" fontId="6" fillId="3" borderId="11" xfId="0" applyFont="1" applyFill="1" applyBorder="1" applyAlignment="1">
      <alignment horizontal="center" wrapText="1"/>
    </xf>
    <xf numFmtId="0" fontId="6" fillId="3" borderId="1" xfId="0" quotePrefix="1" applyFont="1" applyFill="1" applyBorder="1" applyAlignment="1">
      <alignment horizontal="left" wrapText="1"/>
    </xf>
    <xf numFmtId="0" fontId="6" fillId="3" borderId="1" xfId="0" quotePrefix="1" applyFont="1" applyFill="1" applyBorder="1" applyAlignment="1">
      <alignment vertical="center"/>
    </xf>
    <xf numFmtId="0" fontId="8" fillId="2" borderId="5" xfId="0" applyFont="1" applyFill="1" applyBorder="1" applyAlignment="1">
      <alignment horizontal="center" vertical="center" wrapText="1"/>
    </xf>
    <xf numFmtId="0" fontId="6" fillId="0" borderId="92" xfId="0" applyFont="1" applyBorder="1" applyAlignment="1">
      <alignment wrapText="1"/>
    </xf>
    <xf numFmtId="0" fontId="6" fillId="3" borderId="11" xfId="0" applyFont="1" applyFill="1" applyBorder="1" applyAlignment="1">
      <alignment horizontal="center" vertical="center"/>
    </xf>
    <xf numFmtId="0" fontId="13" fillId="0" borderId="1" xfId="0" applyFont="1" applyBorder="1" applyAlignment="1">
      <alignment horizontal="center" vertical="center" wrapText="1"/>
    </xf>
    <xf numFmtId="11"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0" fontId="6" fillId="0" borderId="21" xfId="0" applyFont="1" applyBorder="1" applyAlignment="1">
      <alignment vertical="center" wrapText="1"/>
    </xf>
    <xf numFmtId="0" fontId="6" fillId="0" borderId="11" xfId="0" quotePrefix="1" applyFont="1" applyBorder="1" applyAlignment="1">
      <alignment horizontal="center" vertical="center"/>
    </xf>
    <xf numFmtId="0" fontId="18" fillId="0" borderId="0" xfId="0" applyFont="1"/>
    <xf numFmtId="165" fontId="12" fillId="0" borderId="16" xfId="1" applyNumberFormat="1" applyFont="1" applyBorder="1" applyAlignment="1">
      <alignment horizontal="center" vertical="center" wrapText="1"/>
    </xf>
    <xf numFmtId="2" fontId="6" fillId="0" borderId="31" xfId="0" applyNumberFormat="1" applyFont="1" applyBorder="1" applyAlignment="1">
      <alignment horizontal="center" vertical="center"/>
    </xf>
    <xf numFmtId="166" fontId="6" fillId="0" borderId="1" xfId="0" applyNumberFormat="1" applyFont="1" applyBorder="1" applyAlignment="1">
      <alignment horizontal="center" vertical="center"/>
    </xf>
    <xf numFmtId="0" fontId="6" fillId="0" borderId="102" xfId="0" applyFont="1" applyBorder="1" applyAlignment="1">
      <alignment horizontal="left" vertical="center" indent="1"/>
    </xf>
    <xf numFmtId="0" fontId="8" fillId="2" borderId="7" xfId="0" applyFont="1" applyFill="1" applyBorder="1" applyAlignment="1">
      <alignment horizontal="center" vertical="center" wrapText="1"/>
    </xf>
    <xf numFmtId="11" fontId="12" fillId="0" borderId="24" xfId="0" applyNumberFormat="1" applyFont="1" applyBorder="1" applyAlignment="1">
      <alignment horizontal="center" vertical="center" wrapText="1"/>
    </xf>
    <xf numFmtId="166" fontId="6" fillId="0" borderId="1" xfId="0" applyNumberFormat="1" applyFont="1" applyBorder="1" applyAlignment="1">
      <alignment horizontal="center" vertical="center" wrapText="1"/>
    </xf>
    <xf numFmtId="166" fontId="12" fillId="0" borderId="1" xfId="0" applyNumberFormat="1" applyFont="1" applyBorder="1" applyAlignment="1">
      <alignment horizontal="center" vertical="center" wrapText="1"/>
    </xf>
    <xf numFmtId="0" fontId="30" fillId="0" borderId="46" xfId="0" applyFont="1" applyBorder="1" applyAlignment="1">
      <alignment vertical="center" wrapText="1"/>
    </xf>
    <xf numFmtId="0" fontId="0" fillId="0" borderId="46" xfId="0" applyBorder="1" applyAlignment="1">
      <alignment vertical="center" wrapText="1"/>
    </xf>
    <xf numFmtId="0" fontId="0" fillId="0" borderId="45" xfId="0" applyBorder="1" applyAlignment="1">
      <alignment vertical="center" wrapText="1"/>
    </xf>
    <xf numFmtId="11" fontId="6" fillId="0" borderId="0" xfId="0" applyNumberFormat="1" applyFont="1" applyAlignment="1">
      <alignment horizontal="center"/>
    </xf>
    <xf numFmtId="0" fontId="30" fillId="0" borderId="46" xfId="0" applyFont="1" applyBorder="1" applyAlignment="1">
      <alignment horizontal="center" vertical="center" wrapText="1"/>
    </xf>
    <xf numFmtId="0" fontId="0" fillId="0" borderId="46" xfId="0" applyBorder="1" applyAlignment="1">
      <alignment horizontal="center" vertical="center" wrapText="1"/>
    </xf>
    <xf numFmtId="0" fontId="0" fillId="0" borderId="45"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11" fontId="6" fillId="0" borderId="0" xfId="0" applyNumberFormat="1" applyFont="1" applyAlignment="1">
      <alignment horizontal="center" vertical="center"/>
    </xf>
    <xf numFmtId="0" fontId="6" fillId="0" borderId="31" xfId="0" applyFont="1" applyBorder="1" applyAlignment="1">
      <alignment horizontal="center" vertical="center"/>
    </xf>
    <xf numFmtId="166" fontId="6" fillId="0" borderId="31" xfId="0" applyNumberFormat="1" applyFont="1" applyBorder="1" applyAlignment="1">
      <alignment horizontal="center" vertical="center"/>
    </xf>
    <xf numFmtId="0" fontId="28" fillId="0" borderId="31" xfId="0" applyFont="1" applyBorder="1" applyAlignment="1">
      <alignment horizontal="center" vertical="center" wrapText="1"/>
    </xf>
    <xf numFmtId="0" fontId="28" fillId="0" borderId="1" xfId="0" applyFont="1" applyBorder="1" applyAlignment="1">
      <alignment horizontal="center" vertical="center" wrapText="1"/>
    </xf>
    <xf numFmtId="2" fontId="6" fillId="3" borderId="1" xfId="0" applyNumberFormat="1" applyFont="1" applyFill="1" applyBorder="1" applyAlignment="1">
      <alignment horizontal="center" vertical="center"/>
    </xf>
    <xf numFmtId="0" fontId="29" fillId="0" borderId="46" xfId="0" applyFont="1" applyBorder="1" applyAlignment="1">
      <alignment vertical="center" wrapText="1"/>
    </xf>
    <xf numFmtId="0" fontId="6" fillId="0" borderId="79" xfId="0" applyFont="1" applyBorder="1" applyAlignment="1">
      <alignment vertical="center" wrapText="1"/>
    </xf>
    <xf numFmtId="0" fontId="6" fillId="0" borderId="58" xfId="0" applyFont="1" applyBorder="1" applyAlignment="1">
      <alignment vertical="center" wrapText="1"/>
    </xf>
    <xf numFmtId="0" fontId="6" fillId="0" borderId="48" xfId="0" applyFont="1" applyBorder="1" applyAlignment="1">
      <alignment vertical="center" wrapText="1"/>
    </xf>
    <xf numFmtId="2" fontId="6" fillId="0" borderId="34" xfId="0" applyNumberFormat="1" applyFont="1" applyBorder="1" applyAlignment="1">
      <alignment horizontal="center" vertical="center"/>
    </xf>
    <xf numFmtId="2" fontId="6" fillId="0" borderId="22" xfId="0" applyNumberFormat="1" applyFont="1" applyBorder="1" applyAlignment="1">
      <alignment horizontal="center" vertical="center"/>
    </xf>
    <xf numFmtId="2" fontId="6" fillId="0" borderId="33" xfId="0" applyNumberFormat="1" applyFont="1" applyBorder="1" applyAlignment="1">
      <alignment horizontal="center" vertical="center"/>
    </xf>
    <xf numFmtId="2" fontId="6" fillId="0" borderId="17" xfId="0" applyNumberFormat="1" applyFont="1" applyBorder="1" applyAlignment="1">
      <alignment horizontal="center" vertical="center"/>
    </xf>
    <xf numFmtId="2" fontId="6" fillId="0" borderId="36" xfId="0" applyNumberFormat="1" applyFont="1" applyBorder="1" applyAlignment="1">
      <alignment horizontal="center" vertical="center"/>
    </xf>
    <xf numFmtId="0" fontId="16" fillId="11" borderId="1" xfId="0" applyFont="1" applyFill="1" applyBorder="1" applyAlignment="1">
      <alignment horizontal="center" vertical="center" wrapText="1"/>
    </xf>
    <xf numFmtId="0" fontId="6" fillId="0" borderId="8" xfId="0" applyFont="1" applyBorder="1"/>
    <xf numFmtId="166" fontId="6" fillId="0" borderId="24" xfId="0" applyNumberFormat="1" applyFont="1" applyBorder="1" applyAlignment="1">
      <alignment horizontal="center" vertical="center"/>
    </xf>
    <xf numFmtId="0" fontId="6" fillId="0" borderId="103" xfId="0" applyFont="1" applyBorder="1" applyAlignment="1">
      <alignment vertical="center" wrapText="1"/>
    </xf>
    <xf numFmtId="2" fontId="6" fillId="0" borderId="104" xfId="0" applyNumberFormat="1" applyFont="1" applyBorder="1" applyAlignment="1">
      <alignment horizontal="center" vertical="center"/>
    </xf>
    <xf numFmtId="0" fontId="6" fillId="0" borderId="105" xfId="0" applyFont="1" applyBorder="1" applyAlignment="1">
      <alignment vertical="center" wrapText="1"/>
    </xf>
    <xf numFmtId="2" fontId="6" fillId="0" borderId="106" xfId="0" applyNumberFormat="1" applyFont="1" applyBorder="1" applyAlignment="1">
      <alignment horizontal="center" vertical="center"/>
    </xf>
    <xf numFmtId="0" fontId="9" fillId="5" borderId="15"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5" fillId="3" borderId="0" xfId="0" applyFont="1" applyFill="1" applyAlignment="1">
      <alignment horizontal="center" vertical="center" wrapText="1"/>
    </xf>
    <xf numFmtId="0" fontId="6" fillId="3" borderId="16" xfId="0" applyFont="1" applyFill="1" applyBorder="1" applyAlignment="1">
      <alignment horizontal="center" vertical="center"/>
    </xf>
    <xf numFmtId="0" fontId="6" fillId="3" borderId="15" xfId="0" applyFont="1" applyFill="1" applyBorder="1" applyAlignment="1">
      <alignment horizontal="center" vertical="center"/>
    </xf>
    <xf numFmtId="0" fontId="9"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6" fillId="3" borderId="0" xfId="0" applyFont="1" applyFill="1" applyAlignment="1">
      <alignment horizontal="center"/>
    </xf>
    <xf numFmtId="0" fontId="6" fillId="3" borderId="0" xfId="0" applyFont="1" applyFill="1" applyAlignment="1">
      <alignment wrapText="1"/>
    </xf>
    <xf numFmtId="11" fontId="6" fillId="0" borderId="0" xfId="0" applyNumberFormat="1" applyFont="1"/>
    <xf numFmtId="166" fontId="6" fillId="3" borderId="1" xfId="0" applyNumberFormat="1" applyFont="1" applyFill="1" applyBorder="1" applyAlignment="1">
      <alignment horizontal="center" vertical="center"/>
    </xf>
    <xf numFmtId="166" fontId="6" fillId="0" borderId="0" xfId="0" applyNumberFormat="1" applyFont="1"/>
    <xf numFmtId="0" fontId="9" fillId="13" borderId="1" xfId="0" applyFont="1" applyFill="1" applyBorder="1" applyAlignment="1">
      <alignment horizontal="center" vertical="center" wrapText="1"/>
    </xf>
    <xf numFmtId="0" fontId="8" fillId="13" borderId="1" xfId="0" applyFont="1" applyFill="1" applyBorder="1" applyAlignment="1">
      <alignment horizontal="center" vertical="center" wrapText="1"/>
    </xf>
    <xf numFmtId="170" fontId="12" fillId="0" borderId="15" xfId="0" applyNumberFormat="1" applyFont="1" applyBorder="1" applyAlignment="1">
      <alignment horizontal="center" vertical="center"/>
    </xf>
    <xf numFmtId="0" fontId="0" fillId="0" borderId="46" xfId="0" applyFill="1" applyBorder="1" applyAlignment="1">
      <alignment vertical="center" wrapText="1"/>
    </xf>
    <xf numFmtId="0" fontId="6" fillId="0" borderId="7" xfId="0" applyFont="1" applyFill="1" applyBorder="1"/>
    <xf numFmtId="0" fontId="0" fillId="0" borderId="46" xfId="0" applyFill="1" applyBorder="1" applyAlignment="1">
      <alignment horizontal="center" vertical="center" wrapText="1"/>
    </xf>
    <xf numFmtId="0" fontId="13"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1" fontId="6" fillId="0" borderId="1" xfId="0" applyNumberFormat="1" applyFont="1" applyFill="1" applyBorder="1" applyAlignment="1">
      <alignment horizontal="center" vertical="center"/>
    </xf>
    <xf numFmtId="2" fontId="6" fillId="0" borderId="1" xfId="0" applyNumberFormat="1" applyFont="1" applyFill="1" applyBorder="1" applyAlignment="1">
      <alignment horizontal="center" vertical="center"/>
    </xf>
    <xf numFmtId="166" fontId="6" fillId="0" borderId="1"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6" fillId="0" borderId="21" xfId="0" applyFont="1" applyFill="1" applyBorder="1" applyAlignment="1">
      <alignment vertical="center" wrapText="1"/>
    </xf>
    <xf numFmtId="0" fontId="6" fillId="0" borderId="0" xfId="0" applyFont="1" applyFill="1"/>
    <xf numFmtId="0" fontId="0" fillId="0" borderId="1" xfId="0" applyFill="1" applyBorder="1" applyAlignment="1">
      <alignment horizontal="center" vertical="center"/>
    </xf>
    <xf numFmtId="0" fontId="30" fillId="0" borderId="1" xfId="0" applyFont="1" applyFill="1" applyBorder="1" applyAlignment="1">
      <alignment horizontal="center" vertical="center"/>
    </xf>
    <xf numFmtId="0" fontId="0" fillId="0" borderId="45" xfId="0" applyFill="1" applyBorder="1" applyAlignment="1">
      <alignment horizontal="center" vertical="center" wrapText="1"/>
    </xf>
    <xf numFmtId="0" fontId="0" fillId="0" borderId="45" xfId="0" applyFill="1" applyBorder="1" applyAlignment="1">
      <alignment vertical="center" wrapText="1"/>
    </xf>
    <xf numFmtId="0" fontId="6" fillId="0" borderId="111" xfId="0" applyFont="1" applyFill="1" applyBorder="1" applyAlignment="1">
      <alignment horizontal="center" vertical="center" wrapText="1"/>
    </xf>
    <xf numFmtId="0" fontId="6" fillId="0" borderId="111" xfId="0" applyFont="1" applyFill="1" applyBorder="1" applyAlignment="1">
      <alignment vertical="center" wrapText="1"/>
    </xf>
    <xf numFmtId="0" fontId="13" fillId="0" borderId="31" xfId="0" applyFont="1" applyFill="1" applyBorder="1" applyAlignment="1">
      <alignment horizontal="center" vertical="center" wrapText="1"/>
    </xf>
    <xf numFmtId="0" fontId="6" fillId="0" borderId="31" xfId="0" applyFont="1" applyFill="1" applyBorder="1" applyAlignment="1">
      <alignment horizontal="center" vertical="center"/>
    </xf>
    <xf numFmtId="11" fontId="6" fillId="0" borderId="31" xfId="0" applyNumberFormat="1" applyFont="1" applyFill="1" applyBorder="1" applyAlignment="1">
      <alignment horizontal="center" vertical="center"/>
    </xf>
    <xf numFmtId="2" fontId="6" fillId="0" borderId="31" xfId="0" applyNumberFormat="1" applyFont="1" applyFill="1" applyBorder="1" applyAlignment="1">
      <alignment horizontal="center" vertical="center"/>
    </xf>
    <xf numFmtId="1" fontId="6" fillId="0" borderId="31" xfId="0" applyNumberFormat="1" applyFont="1" applyFill="1" applyBorder="1" applyAlignment="1">
      <alignment horizontal="center" vertical="center"/>
    </xf>
    <xf numFmtId="0" fontId="6" fillId="0" borderId="31" xfId="0" applyFont="1" applyFill="1" applyBorder="1" applyAlignment="1">
      <alignment vertical="center" wrapText="1"/>
    </xf>
    <xf numFmtId="0" fontId="6" fillId="0" borderId="32" xfId="0" applyFont="1" applyFill="1" applyBorder="1" applyAlignment="1">
      <alignment vertical="center" wrapText="1"/>
    </xf>
    <xf numFmtId="0" fontId="7" fillId="3" borderId="0" xfId="0" applyFont="1" applyFill="1"/>
    <xf numFmtId="0" fontId="9" fillId="5" borderId="18"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6" fillId="3" borderId="31" xfId="0" applyFont="1" applyFill="1" applyBorder="1" applyAlignment="1">
      <alignment horizontal="center" vertical="center"/>
    </xf>
    <xf numFmtId="2" fontId="6" fillId="0" borderId="18" xfId="0" applyNumberFormat="1" applyFont="1" applyBorder="1" applyAlignment="1">
      <alignment horizontal="center" vertical="center"/>
    </xf>
    <xf numFmtId="2" fontId="6" fillId="0" borderId="29" xfId="0" applyNumberFormat="1" applyFont="1" applyBorder="1" applyAlignment="1">
      <alignment horizontal="center" vertical="center"/>
    </xf>
    <xf numFmtId="2" fontId="6" fillId="0" borderId="69" xfId="0" applyNumberFormat="1" applyFont="1" applyBorder="1" applyAlignment="1">
      <alignment horizontal="center" vertical="center"/>
    </xf>
    <xf numFmtId="2" fontId="6" fillId="0" borderId="57" xfId="0" applyNumberFormat="1" applyFont="1" applyBorder="1" applyAlignment="1">
      <alignment horizontal="center" vertical="center"/>
    </xf>
    <xf numFmtId="0" fontId="6" fillId="3" borderId="0" xfId="0" applyFont="1" applyFill="1" applyBorder="1" applyAlignment="1">
      <alignment vertical="center"/>
    </xf>
    <xf numFmtId="0" fontId="9" fillId="3" borderId="82" xfId="0" applyFont="1" applyFill="1" applyBorder="1" applyAlignment="1">
      <alignment horizontal="center" vertical="center" wrapText="1"/>
    </xf>
    <xf numFmtId="2" fontId="6" fillId="3" borderId="82" xfId="0" applyNumberFormat="1" applyFont="1" applyFill="1" applyBorder="1" applyAlignment="1">
      <alignment horizontal="center" vertical="center"/>
    </xf>
    <xf numFmtId="0" fontId="6" fillId="8" borderId="50" xfId="0" applyFont="1" applyFill="1" applyBorder="1" applyAlignment="1">
      <alignment horizontal="left" vertical="center" wrapText="1"/>
    </xf>
    <xf numFmtId="0" fontId="6" fillId="3" borderId="114" xfId="0" applyFont="1" applyFill="1" applyBorder="1" applyAlignment="1">
      <alignment vertical="center"/>
    </xf>
    <xf numFmtId="0" fontId="6" fillId="3" borderId="2" xfId="0" applyFont="1" applyFill="1" applyBorder="1" applyAlignment="1">
      <alignment horizontal="center" vertical="center"/>
    </xf>
    <xf numFmtId="2" fontId="12" fillId="0" borderId="26" xfId="0" applyNumberFormat="1" applyFont="1" applyBorder="1" applyAlignment="1">
      <alignment horizontal="center" vertical="center"/>
    </xf>
    <xf numFmtId="2" fontId="12" fillId="0" borderId="101" xfId="0" applyNumberFormat="1" applyFont="1" applyBorder="1" applyAlignment="1">
      <alignment horizontal="center" vertical="center"/>
    </xf>
    <xf numFmtId="0" fontId="6" fillId="3" borderId="2" xfId="0" applyFont="1" applyFill="1" applyBorder="1" applyAlignment="1">
      <alignment vertical="center"/>
    </xf>
    <xf numFmtId="0" fontId="6" fillId="3" borderId="97" xfId="0" applyFont="1" applyFill="1" applyBorder="1" applyAlignment="1">
      <alignment vertical="center" wrapText="1"/>
    </xf>
    <xf numFmtId="0" fontId="6" fillId="3" borderId="97" xfId="0" applyFont="1" applyFill="1" applyBorder="1" applyAlignment="1">
      <alignment horizontal="center" vertical="center" wrapText="1"/>
    </xf>
    <xf numFmtId="0" fontId="6" fillId="3" borderId="97" xfId="0" applyFont="1" applyFill="1" applyBorder="1" applyAlignment="1">
      <alignment vertical="center"/>
    </xf>
    <xf numFmtId="0" fontId="12" fillId="3" borderId="97" xfId="0" applyFont="1" applyFill="1" applyBorder="1" applyAlignment="1">
      <alignment vertical="center"/>
    </xf>
    <xf numFmtId="2" fontId="6" fillId="0" borderId="115" xfId="0" applyNumberFormat="1" applyFont="1" applyBorder="1" applyAlignment="1">
      <alignment horizontal="center" vertical="center"/>
    </xf>
    <xf numFmtId="2" fontId="6" fillId="0" borderId="116" xfId="0" applyNumberFormat="1" applyFont="1" applyBorder="1" applyAlignment="1">
      <alignment horizontal="center" vertical="center"/>
    </xf>
    <xf numFmtId="0" fontId="0" fillId="3" borderId="0" xfId="0" applyFill="1" applyBorder="1" applyAlignment="1">
      <alignment horizontal="center" vertical="center"/>
    </xf>
    <xf numFmtId="0" fontId="0" fillId="3" borderId="0" xfId="0" applyFill="1" applyBorder="1" applyAlignment="1">
      <alignment vertical="center"/>
    </xf>
    <xf numFmtId="11" fontId="0" fillId="3" borderId="0" xfId="0" applyNumberFormat="1" applyFill="1" applyBorder="1" applyAlignment="1">
      <alignment horizontal="center" vertical="center"/>
    </xf>
    <xf numFmtId="1" fontId="0" fillId="3" borderId="0" xfId="0" applyNumberFormat="1" applyFill="1" applyBorder="1" applyAlignment="1">
      <alignment vertical="center"/>
    </xf>
    <xf numFmtId="0" fontId="6" fillId="3" borderId="0" xfId="0" applyFont="1" applyFill="1" applyBorder="1" applyAlignment="1">
      <alignment horizontal="center" vertical="center"/>
    </xf>
    <xf numFmtId="11" fontId="6" fillId="3" borderId="0" xfId="0" applyNumberFormat="1" applyFont="1" applyFill="1" applyBorder="1" applyAlignment="1">
      <alignment horizontal="center" vertical="center"/>
    </xf>
    <xf numFmtId="168" fontId="6" fillId="3" borderId="0" xfId="0" applyNumberFormat="1" applyFont="1" applyFill="1" applyBorder="1" applyAlignment="1">
      <alignment vertical="center"/>
    </xf>
    <xf numFmtId="168" fontId="0" fillId="3" borderId="0" xfId="0" applyNumberFormat="1" applyFill="1" applyBorder="1" applyAlignment="1">
      <alignment vertical="center"/>
    </xf>
    <xf numFmtId="0" fontId="18" fillId="3" borderId="0" xfId="0" applyFont="1" applyFill="1" applyBorder="1" applyAlignment="1">
      <alignment horizontal="center" vertical="center"/>
    </xf>
    <xf numFmtId="0" fontId="18" fillId="3" borderId="0" xfId="0" applyFont="1" applyFill="1" applyBorder="1" applyAlignment="1">
      <alignment vertical="center"/>
    </xf>
    <xf numFmtId="0" fontId="18" fillId="3" borderId="0" xfId="0" applyFont="1" applyFill="1" applyBorder="1" applyAlignment="1">
      <alignment vertical="center" wrapText="1"/>
    </xf>
    <xf numFmtId="0" fontId="19" fillId="3" borderId="0" xfId="0" applyFont="1" applyFill="1" applyBorder="1" applyAlignment="1">
      <alignment vertical="center"/>
    </xf>
    <xf numFmtId="0" fontId="6" fillId="3" borderId="0" xfId="0" applyFont="1" applyFill="1" applyBorder="1" applyAlignment="1">
      <alignment horizontal="center" vertical="center" wrapText="1"/>
    </xf>
    <xf numFmtId="0" fontId="0" fillId="3" borderId="0" xfId="0" applyFill="1" applyBorder="1" applyAlignment="1">
      <alignment horizontal="center" vertical="center" wrapText="1"/>
    </xf>
    <xf numFmtId="0" fontId="9" fillId="5" borderId="29" xfId="0" applyFont="1" applyFill="1" applyBorder="1" applyAlignment="1">
      <alignment horizontal="center" vertical="center" wrapText="1"/>
    </xf>
    <xf numFmtId="2" fontId="6" fillId="0" borderId="2" xfId="0" applyNumberFormat="1" applyFont="1" applyBorder="1" applyAlignment="1">
      <alignment horizontal="center" vertical="center"/>
    </xf>
    <xf numFmtId="0" fontId="22" fillId="3" borderId="0" xfId="0" applyFont="1" applyFill="1" applyBorder="1" applyAlignment="1">
      <alignment vertical="center"/>
    </xf>
    <xf numFmtId="0" fontId="7" fillId="3" borderId="0" xfId="0" applyFont="1" applyFill="1" applyProtection="1">
      <protection locked="0"/>
    </xf>
    <xf numFmtId="0" fontId="6" fillId="0" borderId="0" xfId="0" applyFont="1" applyAlignment="1" applyProtection="1">
      <alignment vertical="center" wrapText="1"/>
      <protection locked="0"/>
    </xf>
    <xf numFmtId="0" fontId="6" fillId="3" borderId="0" xfId="0" applyFont="1" applyFill="1" applyProtection="1">
      <protection locked="0"/>
    </xf>
    <xf numFmtId="0" fontId="9" fillId="3" borderId="82" xfId="0" applyFont="1" applyFill="1" applyBorder="1" applyAlignment="1" applyProtection="1">
      <alignment horizontal="center" vertical="center" wrapText="1"/>
      <protection locked="0"/>
    </xf>
    <xf numFmtId="0" fontId="12" fillId="3" borderId="0" xfId="0" applyFont="1" applyFill="1" applyAlignment="1" applyProtection="1">
      <alignment vertical="center" wrapText="1"/>
      <protection locked="0"/>
    </xf>
    <xf numFmtId="0" fontId="6" fillId="0" borderId="0" xfId="0" applyFont="1" applyAlignment="1" applyProtection="1">
      <alignment vertical="center"/>
      <protection locked="0"/>
    </xf>
    <xf numFmtId="166" fontId="6" fillId="0" borderId="1" xfId="0" applyNumberFormat="1" applyFont="1" applyBorder="1" applyAlignment="1" applyProtection="1">
      <alignment horizontal="center" vertical="center"/>
      <protection locked="0"/>
    </xf>
    <xf numFmtId="0" fontId="6" fillId="3" borderId="8" xfId="0" applyFont="1" applyFill="1" applyBorder="1" applyProtection="1">
      <protection locked="0"/>
    </xf>
    <xf numFmtId="0" fontId="6" fillId="10" borderId="0" xfId="0" applyFont="1" applyFill="1" applyProtection="1">
      <protection locked="0"/>
    </xf>
    <xf numFmtId="164" fontId="12" fillId="0" borderId="15" xfId="0" applyNumberFormat="1" applyFont="1" applyBorder="1" applyAlignment="1">
      <alignment horizontal="center" vertical="center"/>
    </xf>
    <xf numFmtId="0" fontId="9" fillId="5" borderId="2" xfId="0" applyFont="1" applyFill="1" applyBorder="1" applyAlignment="1">
      <alignment horizontal="center" vertical="center" wrapText="1"/>
    </xf>
    <xf numFmtId="0" fontId="15" fillId="3" borderId="0" xfId="0" applyFont="1" applyFill="1" applyAlignment="1">
      <alignment horizontal="center" vertical="center" wrapText="1"/>
    </xf>
    <xf numFmtId="0" fontId="9" fillId="3" borderId="0" xfId="0" applyFont="1" applyFill="1" applyBorder="1" applyAlignment="1">
      <alignment horizontal="center" vertical="center" wrapText="1"/>
    </xf>
    <xf numFmtId="2" fontId="6" fillId="3" borderId="0" xfId="0" applyNumberFormat="1" applyFont="1" applyFill="1" applyBorder="1" applyAlignment="1">
      <alignment horizontal="center" vertical="center"/>
    </xf>
    <xf numFmtId="0" fontId="9" fillId="3" borderId="5" xfId="0" applyFont="1" applyFill="1" applyBorder="1" applyAlignment="1">
      <alignment horizontal="center" vertical="center" wrapText="1"/>
    </xf>
    <xf numFmtId="2" fontId="6" fillId="3" borderId="5" xfId="0" applyNumberFormat="1" applyFont="1" applyFill="1" applyBorder="1" applyAlignment="1">
      <alignment horizontal="center" vertical="center"/>
    </xf>
    <xf numFmtId="0" fontId="4" fillId="3" borderId="0" xfId="0" applyFont="1" applyFill="1" applyAlignment="1">
      <alignment horizontal="center" vertical="center" wrapText="1"/>
    </xf>
    <xf numFmtId="49" fontId="5" fillId="3" borderId="0" xfId="0" quotePrefix="1" applyNumberFormat="1" applyFont="1" applyFill="1" applyAlignment="1">
      <alignment horizontal="center"/>
    </xf>
    <xf numFmtId="0" fontId="6" fillId="0" borderId="0" xfId="0" applyFont="1" applyAlignment="1">
      <alignment horizontal="left" vertical="center" wrapText="1"/>
    </xf>
    <xf numFmtId="0" fontId="8" fillId="12" borderId="1" xfId="0" applyFont="1" applyFill="1" applyBorder="1" applyAlignment="1">
      <alignment horizontal="left"/>
    </xf>
    <xf numFmtId="0" fontId="8" fillId="12" borderId="52" xfId="0" applyFont="1" applyFill="1" applyBorder="1" applyAlignment="1">
      <alignment horizontal="left"/>
    </xf>
    <xf numFmtId="0" fontId="8" fillId="12" borderId="71" xfId="0" applyFont="1" applyFill="1" applyBorder="1" applyAlignment="1">
      <alignment horizontal="left"/>
    </xf>
    <xf numFmtId="0" fontId="8" fillId="12" borderId="70" xfId="0" applyFont="1" applyFill="1" applyBorder="1" applyAlignment="1">
      <alignment horizontal="left"/>
    </xf>
    <xf numFmtId="0" fontId="12" fillId="2" borderId="17" xfId="0" applyFont="1" applyFill="1" applyBorder="1" applyAlignment="1">
      <alignment horizontal="center" vertical="center" wrapText="1"/>
    </xf>
    <xf numFmtId="0" fontId="12" fillId="2" borderId="22" xfId="0" applyFont="1" applyFill="1" applyBorder="1" applyAlignment="1">
      <alignment horizontal="center" vertical="center" wrapText="1"/>
    </xf>
    <xf numFmtId="1" fontId="6" fillId="3" borderId="15" xfId="0" applyNumberFormat="1" applyFont="1" applyFill="1" applyBorder="1" applyAlignment="1">
      <alignment horizontal="center" vertical="center"/>
    </xf>
    <xf numFmtId="1" fontId="6" fillId="3" borderId="16" xfId="0" applyNumberFormat="1" applyFont="1" applyFill="1" applyBorder="1" applyAlignment="1">
      <alignment horizontal="center" vertical="center"/>
    </xf>
    <xf numFmtId="0" fontId="9" fillId="5" borderId="34" xfId="0" applyFont="1" applyFill="1" applyBorder="1" applyAlignment="1">
      <alignment horizontal="center" vertical="center" wrapText="1"/>
    </xf>
    <xf numFmtId="0" fontId="9" fillId="5" borderId="39" xfId="0" applyFont="1" applyFill="1" applyBorder="1" applyAlignment="1">
      <alignment horizontal="center" vertical="center" wrapText="1"/>
    </xf>
    <xf numFmtId="0" fontId="9" fillId="5" borderId="25" xfId="0" applyFont="1" applyFill="1" applyBorder="1" applyAlignment="1">
      <alignment horizontal="center" vertical="center" wrapText="1"/>
    </xf>
    <xf numFmtId="0" fontId="9" fillId="5" borderId="37" xfId="0" applyFont="1" applyFill="1" applyBorder="1" applyAlignment="1">
      <alignment horizontal="center" vertical="center" wrapText="1"/>
    </xf>
    <xf numFmtId="0" fontId="9" fillId="5" borderId="25" xfId="0" applyFont="1" applyFill="1" applyBorder="1" applyAlignment="1">
      <alignment horizontal="center" vertical="center"/>
    </xf>
    <xf numFmtId="0" fontId="9" fillId="5" borderId="37" xfId="0" applyFont="1" applyFill="1" applyBorder="1" applyAlignment="1">
      <alignment horizontal="center" vertical="center"/>
    </xf>
    <xf numFmtId="0" fontId="12" fillId="2" borderId="34" xfId="0" applyFont="1" applyFill="1" applyBorder="1" applyAlignment="1">
      <alignment horizontal="center" vertical="center" wrapText="1"/>
    </xf>
    <xf numFmtId="0" fontId="12" fillId="2" borderId="39" xfId="0" applyFont="1" applyFill="1" applyBorder="1" applyAlignment="1">
      <alignment horizontal="center" vertical="center" wrapText="1"/>
    </xf>
    <xf numFmtId="1" fontId="6" fillId="3" borderId="25" xfId="0" applyNumberFormat="1" applyFont="1" applyFill="1" applyBorder="1" applyAlignment="1">
      <alignment horizontal="center" vertical="center"/>
    </xf>
    <xf numFmtId="1" fontId="6" fillId="3" borderId="37" xfId="0" applyNumberFormat="1" applyFont="1" applyFill="1" applyBorder="1" applyAlignment="1">
      <alignment horizontal="center" vertical="center"/>
    </xf>
    <xf numFmtId="0" fontId="9" fillId="5" borderId="15"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55" xfId="0" applyFont="1" applyFill="1" applyBorder="1" applyAlignment="1">
      <alignment horizontal="center" vertical="center" wrapText="1"/>
    </xf>
    <xf numFmtId="0" fontId="9" fillId="3" borderId="30" xfId="0" applyFont="1" applyFill="1" applyBorder="1" applyAlignment="1">
      <alignment horizontal="left" vertical="center"/>
    </xf>
    <xf numFmtId="0" fontId="9" fillId="3" borderId="0" xfId="0" applyFont="1" applyFill="1" applyAlignment="1">
      <alignment horizontal="left" vertical="center"/>
    </xf>
    <xf numFmtId="0" fontId="9" fillId="5" borderId="31" xfId="0" applyFont="1" applyFill="1" applyBorder="1" applyAlignment="1">
      <alignment horizontal="center" vertical="center" wrapText="1"/>
    </xf>
    <xf numFmtId="0" fontId="9" fillId="5" borderId="42"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9" fillId="5" borderId="26" xfId="0" applyFont="1" applyFill="1" applyBorder="1" applyAlignment="1">
      <alignment horizontal="center" vertical="center"/>
    </xf>
    <xf numFmtId="0" fontId="14" fillId="5" borderId="40" xfId="0" applyFont="1" applyFill="1" applyBorder="1" applyAlignment="1">
      <alignment horizontal="center" vertical="center" wrapText="1"/>
    </xf>
    <xf numFmtId="0" fontId="14" fillId="5" borderId="4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112" xfId="0" applyFont="1" applyFill="1" applyBorder="1" applyAlignment="1">
      <alignment horizontal="center" vertical="center" wrapText="1"/>
    </xf>
    <xf numFmtId="0" fontId="12" fillId="2" borderId="29" xfId="0" applyFont="1" applyFill="1" applyBorder="1" applyAlignment="1" applyProtection="1">
      <alignment horizontal="center" vertical="center" wrapText="1"/>
      <protection locked="0"/>
    </xf>
    <xf numFmtId="0" fontId="12" fillId="2" borderId="72" xfId="0" applyFont="1" applyFill="1" applyBorder="1" applyAlignment="1" applyProtection="1">
      <alignment horizontal="center" vertical="center" wrapText="1"/>
      <protection locked="0"/>
    </xf>
    <xf numFmtId="0" fontId="9" fillId="5" borderId="44" xfId="0" applyFont="1" applyFill="1" applyBorder="1" applyAlignment="1">
      <alignment horizontal="center" vertical="center" wrapText="1"/>
    </xf>
    <xf numFmtId="0" fontId="14" fillId="4" borderId="48" xfId="0" applyFont="1" applyFill="1" applyBorder="1" applyAlignment="1">
      <alignment horizontal="center" vertical="center" wrapText="1"/>
    </xf>
    <xf numFmtId="0" fontId="14" fillId="4" borderId="49" xfId="0" applyFont="1" applyFill="1" applyBorder="1" applyAlignment="1">
      <alignment horizontal="center" vertical="center" wrapText="1"/>
    </xf>
    <xf numFmtId="0" fontId="9" fillId="5" borderId="34" xfId="0" applyFont="1" applyFill="1" applyBorder="1" applyAlignment="1">
      <alignment horizontal="center" vertical="center"/>
    </xf>
    <xf numFmtId="0" fontId="9" fillId="5" borderId="42" xfId="0" applyFont="1" applyFill="1" applyBorder="1" applyAlignment="1">
      <alignment horizontal="center" vertical="center"/>
    </xf>
    <xf numFmtId="0" fontId="9" fillId="5" borderId="17" xfId="0" applyFont="1" applyFill="1" applyBorder="1" applyAlignment="1">
      <alignment horizontal="center" vertical="center"/>
    </xf>
    <xf numFmtId="0" fontId="9" fillId="5" borderId="33" xfId="0" applyFont="1" applyFill="1" applyBorder="1" applyAlignment="1">
      <alignment horizontal="center" vertical="center"/>
    </xf>
    <xf numFmtId="0" fontId="9" fillId="5" borderId="15" xfId="0" applyFont="1" applyFill="1" applyBorder="1" applyAlignment="1">
      <alignment horizontal="center" vertical="center"/>
    </xf>
    <xf numFmtId="0" fontId="9" fillId="5" borderId="31" xfId="0" applyFont="1" applyFill="1" applyBorder="1" applyAlignment="1">
      <alignment horizontal="center" vertical="center"/>
    </xf>
    <xf numFmtId="0" fontId="6" fillId="2" borderId="47" xfId="0" applyFont="1" applyFill="1" applyBorder="1" applyAlignment="1">
      <alignment horizontal="center" vertical="center" wrapText="1"/>
    </xf>
    <xf numFmtId="0" fontId="6" fillId="2" borderId="50"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6" fillId="2" borderId="47" xfId="0" applyFont="1" applyFill="1" applyBorder="1" applyAlignment="1">
      <alignment horizontal="center" vertical="center"/>
    </xf>
    <xf numFmtId="0" fontId="6" fillId="2" borderId="50" xfId="0" applyFont="1" applyFill="1" applyBorder="1" applyAlignment="1">
      <alignment horizontal="center" vertical="center"/>
    </xf>
    <xf numFmtId="1" fontId="6" fillId="3" borderId="26" xfId="0" applyNumberFormat="1" applyFont="1" applyFill="1" applyBorder="1" applyAlignment="1">
      <alignment horizontal="center" vertical="center"/>
    </xf>
    <xf numFmtId="0" fontId="14" fillId="5" borderId="57" xfId="0" applyFont="1" applyFill="1" applyBorder="1" applyAlignment="1">
      <alignment horizontal="center" vertical="center" wrapText="1"/>
    </xf>
    <xf numFmtId="0" fontId="14" fillId="5" borderId="49" xfId="0" applyFont="1" applyFill="1" applyBorder="1" applyAlignment="1">
      <alignment horizontal="center" vertical="center" wrapText="1"/>
    </xf>
    <xf numFmtId="0" fontId="20" fillId="3" borderId="85" xfId="0" applyFont="1" applyFill="1" applyBorder="1" applyAlignment="1">
      <alignment horizontal="left" vertical="center" wrapText="1"/>
    </xf>
    <xf numFmtId="0" fontId="20" fillId="3" borderId="86" xfId="0" applyFont="1" applyFill="1" applyBorder="1" applyAlignment="1">
      <alignment horizontal="left" vertical="center" wrapText="1"/>
    </xf>
    <xf numFmtId="0" fontId="8" fillId="3" borderId="53" xfId="0" applyFont="1" applyFill="1" applyBorder="1" applyAlignment="1">
      <alignment horizontal="center" vertical="center" wrapText="1"/>
    </xf>
    <xf numFmtId="0" fontId="8" fillId="3" borderId="82" xfId="0" applyFont="1" applyFill="1" applyBorder="1" applyAlignment="1">
      <alignment horizontal="center" vertical="center" wrapText="1"/>
    </xf>
    <xf numFmtId="0" fontId="9" fillId="5" borderId="22" xfId="0" applyFont="1" applyFill="1" applyBorder="1" applyAlignment="1">
      <alignment horizontal="center" vertical="center" wrapText="1"/>
    </xf>
    <xf numFmtId="0" fontId="8" fillId="3" borderId="47" xfId="0" applyFont="1" applyFill="1" applyBorder="1" applyAlignment="1">
      <alignment horizontal="center" vertical="center" wrapText="1"/>
    </xf>
    <xf numFmtId="0" fontId="8" fillId="3" borderId="54" xfId="0" applyFont="1" applyFill="1" applyBorder="1" applyAlignment="1">
      <alignment horizontal="center" vertical="center" wrapText="1"/>
    </xf>
    <xf numFmtId="0" fontId="8" fillId="3" borderId="50" xfId="0" applyFont="1" applyFill="1" applyBorder="1" applyAlignment="1">
      <alignment horizontal="center" vertical="center" wrapText="1"/>
    </xf>
    <xf numFmtId="0" fontId="20" fillId="3" borderId="76" xfId="0" applyFont="1" applyFill="1" applyBorder="1" applyAlignment="1">
      <alignment horizontal="left" vertical="center" wrapText="1"/>
    </xf>
    <xf numFmtId="0" fontId="20" fillId="3" borderId="68" xfId="0" applyFont="1" applyFill="1" applyBorder="1" applyAlignment="1">
      <alignment horizontal="left" vertical="center" wrapText="1"/>
    </xf>
    <xf numFmtId="0" fontId="8" fillId="3" borderId="74" xfId="0" applyFont="1" applyFill="1" applyBorder="1" applyAlignment="1">
      <alignment horizontal="center" vertical="center" wrapText="1"/>
    </xf>
    <xf numFmtId="0" fontId="8" fillId="3" borderId="73" xfId="0" applyFont="1" applyFill="1" applyBorder="1" applyAlignment="1">
      <alignment horizontal="center" vertical="center" wrapText="1"/>
    </xf>
    <xf numFmtId="0" fontId="9" fillId="5" borderId="69" xfId="0" applyFont="1" applyFill="1" applyBorder="1" applyAlignment="1">
      <alignment horizontal="center" vertical="center" wrapText="1"/>
    </xf>
    <xf numFmtId="0" fontId="9" fillId="5" borderId="79"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5" fillId="3" borderId="0" xfId="0" applyFont="1" applyFill="1" applyAlignment="1">
      <alignment horizontal="center" vertical="center" wrapText="1"/>
    </xf>
    <xf numFmtId="168" fontId="28" fillId="3" borderId="97" xfId="0" applyNumberFormat="1" applyFont="1" applyFill="1" applyBorder="1" applyAlignment="1">
      <alignment horizontal="center" vertical="center" wrapText="1"/>
    </xf>
    <xf numFmtId="168" fontId="28" fillId="3" borderId="0" xfId="0" applyNumberFormat="1" applyFont="1" applyFill="1" applyAlignment="1">
      <alignment horizontal="center" vertical="center" wrapText="1"/>
    </xf>
    <xf numFmtId="0" fontId="16" fillId="5" borderId="107" xfId="0" applyFont="1" applyFill="1" applyBorder="1" applyAlignment="1">
      <alignment horizontal="center" vertical="center" wrapText="1"/>
    </xf>
    <xf numFmtId="0" fontId="16" fillId="5" borderId="108"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52" xfId="0" applyFont="1" applyFill="1" applyBorder="1" applyAlignment="1">
      <alignment horizontal="center" vertical="center" wrapText="1"/>
    </xf>
    <xf numFmtId="0" fontId="9" fillId="5" borderId="71" xfId="0" applyFont="1" applyFill="1" applyBorder="1" applyAlignment="1">
      <alignment horizontal="center" vertical="center" wrapText="1"/>
    </xf>
    <xf numFmtId="0" fontId="9" fillId="5" borderId="99" xfId="0" applyFont="1" applyFill="1" applyBorder="1" applyAlignment="1">
      <alignment horizontal="center" vertical="center" wrapText="1"/>
    </xf>
    <xf numFmtId="0" fontId="20" fillId="3" borderId="87" xfId="0" applyFont="1" applyFill="1" applyBorder="1" applyAlignment="1">
      <alignment horizontal="left" vertical="center" wrapText="1"/>
    </xf>
    <xf numFmtId="1" fontId="6" fillId="3" borderId="34" xfId="0" applyNumberFormat="1" applyFont="1" applyFill="1" applyBorder="1" applyAlignment="1">
      <alignment horizontal="center" vertical="center"/>
    </xf>
    <xf numFmtId="1" fontId="6" fillId="3" borderId="39" xfId="0" applyNumberFormat="1" applyFont="1" applyFill="1" applyBorder="1" applyAlignment="1">
      <alignment horizontal="center" vertical="center"/>
    </xf>
    <xf numFmtId="1" fontId="6" fillId="3" borderId="42" xfId="0" applyNumberFormat="1" applyFont="1" applyFill="1" applyBorder="1" applyAlignment="1">
      <alignment horizontal="center" vertical="center"/>
    </xf>
    <xf numFmtId="0" fontId="20" fillId="3" borderId="113" xfId="0" applyFont="1" applyFill="1" applyBorder="1" applyAlignment="1">
      <alignment horizontal="left" vertical="center" wrapText="1"/>
    </xf>
    <xf numFmtId="1" fontId="6" fillId="3" borderId="53" xfId="0" applyNumberFormat="1" applyFont="1" applyFill="1" applyBorder="1" applyAlignment="1">
      <alignment horizontal="center" vertical="center"/>
    </xf>
    <xf numFmtId="1" fontId="6" fillId="3" borderId="82" xfId="0" applyNumberFormat="1" applyFont="1" applyFill="1" applyBorder="1" applyAlignment="1">
      <alignment horizontal="center" vertical="center"/>
    </xf>
    <xf numFmtId="1" fontId="6" fillId="3" borderId="100" xfId="0" applyNumberFormat="1" applyFont="1" applyFill="1" applyBorder="1" applyAlignment="1">
      <alignment horizontal="center" vertical="center"/>
    </xf>
    <xf numFmtId="0" fontId="8" fillId="3" borderId="75" xfId="0" applyFont="1" applyFill="1" applyBorder="1" applyAlignment="1">
      <alignment horizontal="center" vertical="center" wrapText="1"/>
    </xf>
    <xf numFmtId="0" fontId="12" fillId="3" borderId="38" xfId="0" applyFont="1" applyFill="1" applyBorder="1" applyAlignment="1">
      <alignment horizontal="center" vertical="center" wrapText="1"/>
    </xf>
    <xf numFmtId="0" fontId="20" fillId="3" borderId="76" xfId="0" applyFont="1" applyFill="1" applyBorder="1" applyAlignment="1">
      <alignment horizontal="center" vertical="center" wrapText="1"/>
    </xf>
    <xf numFmtId="0" fontId="20" fillId="3" borderId="87" xfId="0" applyFont="1" applyFill="1" applyBorder="1" applyAlignment="1">
      <alignment horizontal="center" vertical="center" wrapText="1"/>
    </xf>
    <xf numFmtId="0" fontId="20" fillId="3" borderId="77" xfId="0" applyFont="1" applyFill="1" applyBorder="1" applyAlignment="1">
      <alignment horizontal="center" vertical="center" wrapText="1"/>
    </xf>
    <xf numFmtId="1" fontId="6" fillId="3" borderId="70" xfId="0" applyNumberFormat="1" applyFont="1" applyFill="1" applyBorder="1" applyAlignment="1">
      <alignment horizontal="center" vertical="center"/>
    </xf>
    <xf numFmtId="1" fontId="6" fillId="3" borderId="83" xfId="0" applyNumberFormat="1"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20" fillId="3" borderId="89" xfId="0" applyFont="1" applyFill="1" applyBorder="1" applyAlignment="1">
      <alignment horizontal="center" vertical="center" wrapText="1"/>
    </xf>
    <xf numFmtId="1" fontId="6" fillId="3" borderId="55" xfId="0" applyNumberFormat="1" applyFont="1" applyFill="1" applyBorder="1" applyAlignment="1">
      <alignment horizontal="center" vertical="center"/>
    </xf>
    <xf numFmtId="1" fontId="6" fillId="3" borderId="9" xfId="0" applyNumberFormat="1" applyFont="1" applyFill="1" applyBorder="1" applyAlignment="1">
      <alignment horizontal="center" vertical="center"/>
    </xf>
    <xf numFmtId="0" fontId="6" fillId="3" borderId="24" xfId="0" applyFont="1" applyFill="1" applyBorder="1" applyAlignment="1">
      <alignment horizontal="center" vertical="center" wrapText="1"/>
    </xf>
    <xf numFmtId="0" fontId="6" fillId="3" borderId="15" xfId="0" applyFont="1" applyFill="1" applyBorder="1" applyAlignment="1">
      <alignment horizontal="center" vertical="center" wrapText="1"/>
    </xf>
    <xf numFmtId="1" fontId="6" fillId="3" borderId="4" xfId="0" applyNumberFormat="1" applyFont="1" applyFill="1" applyBorder="1" applyAlignment="1">
      <alignment horizontal="center" vertical="center"/>
    </xf>
    <xf numFmtId="0" fontId="6" fillId="3" borderId="31" xfId="0" applyFont="1" applyFill="1" applyBorder="1" applyAlignment="1">
      <alignment horizontal="center" vertical="center" wrapText="1"/>
    </xf>
    <xf numFmtId="0" fontId="20" fillId="3" borderId="88" xfId="0" applyFont="1" applyFill="1" applyBorder="1" applyAlignment="1">
      <alignment horizontal="center" vertical="center" wrapText="1"/>
    </xf>
    <xf numFmtId="0" fontId="20" fillId="3" borderId="90" xfId="0" applyFont="1" applyFill="1" applyBorder="1" applyAlignment="1">
      <alignment horizontal="center" vertical="center" wrapText="1"/>
    </xf>
    <xf numFmtId="0" fontId="6" fillId="3" borderId="15"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26" xfId="0" applyFont="1" applyFill="1" applyBorder="1" applyAlignment="1">
      <alignment horizontal="center" vertical="center"/>
    </xf>
    <xf numFmtId="0" fontId="9" fillId="5" borderId="97" xfId="0" applyFont="1" applyFill="1" applyBorder="1" applyAlignment="1">
      <alignment horizontal="center" vertical="center" wrapText="1"/>
    </xf>
    <xf numFmtId="0" fontId="9" fillId="5" borderId="109" xfId="0" applyFont="1" applyFill="1" applyBorder="1" applyAlignment="1">
      <alignment horizontal="center" vertical="center" wrapText="1"/>
    </xf>
    <xf numFmtId="0" fontId="9" fillId="5" borderId="110" xfId="0" applyFont="1" applyFill="1" applyBorder="1" applyAlignment="1">
      <alignment horizontal="center" vertical="center" wrapText="1"/>
    </xf>
    <xf numFmtId="0" fontId="9" fillId="5" borderId="21" xfId="0" applyFont="1" applyFill="1" applyBorder="1" applyAlignment="1">
      <alignment horizontal="center" vertical="center" wrapText="1"/>
    </xf>
    <xf numFmtId="0" fontId="6" fillId="3" borderId="31" xfId="0" applyFont="1" applyFill="1" applyBorder="1" applyAlignment="1">
      <alignment horizontal="center" vertical="center"/>
    </xf>
    <xf numFmtId="0" fontId="9" fillId="5" borderId="7"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2" fillId="2" borderId="83" xfId="0" applyFont="1" applyFill="1" applyBorder="1" applyAlignment="1" applyProtection="1">
      <alignment horizontal="center" vertical="center" wrapText="1"/>
      <protection locked="0"/>
    </xf>
    <xf numFmtId="0" fontId="8" fillId="2" borderId="69" xfId="0" applyFont="1" applyFill="1" applyBorder="1" applyAlignment="1">
      <alignment horizontal="center" vertical="center" wrapText="1"/>
    </xf>
    <xf numFmtId="0" fontId="8" fillId="2" borderId="80"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25" xfId="0" applyFont="1" applyFill="1" applyBorder="1" applyAlignment="1">
      <alignment horizontal="center" vertical="top" wrapText="1"/>
    </xf>
    <xf numFmtId="0" fontId="9" fillId="2" borderId="15" xfId="0" applyFont="1" applyFill="1" applyBorder="1" applyAlignment="1">
      <alignment horizontal="center" vertical="center" wrapText="1"/>
    </xf>
    <xf numFmtId="0" fontId="9" fillId="13" borderId="18" xfId="0" applyFont="1" applyFill="1" applyBorder="1" applyAlignment="1">
      <alignment horizontal="center" vertical="center" wrapText="1"/>
    </xf>
    <xf numFmtId="0" fontId="9" fillId="13" borderId="55" xfId="0" applyFont="1" applyFill="1" applyBorder="1" applyAlignment="1">
      <alignment horizontal="center" vertical="center" wrapText="1"/>
    </xf>
    <xf numFmtId="0" fontId="9" fillId="13" borderId="1" xfId="0" applyFont="1" applyFill="1" applyBorder="1" applyAlignment="1">
      <alignment horizontal="center" vertical="center" wrapText="1"/>
    </xf>
    <xf numFmtId="0" fontId="8" fillId="13" borderId="52" xfId="0" applyFont="1" applyFill="1" applyBorder="1" applyAlignment="1">
      <alignment horizontal="center" vertical="center" wrapText="1"/>
    </xf>
    <xf numFmtId="0" fontId="8" fillId="13" borderId="70" xfId="0" applyFont="1" applyFill="1" applyBorder="1" applyAlignment="1">
      <alignment horizontal="center" vertical="center" wrapText="1"/>
    </xf>
    <xf numFmtId="0" fontId="8" fillId="13" borderId="1" xfId="0" applyFont="1" applyFill="1" applyBorder="1" applyAlignment="1">
      <alignment horizontal="center" vertical="center" wrapText="1"/>
    </xf>
    <xf numFmtId="0" fontId="9" fillId="13"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2"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6"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6" fillId="3" borderId="3" xfId="0" applyFont="1" applyFill="1" applyBorder="1" applyAlignment="1">
      <alignment horizontal="center"/>
    </xf>
    <xf numFmtId="0" fontId="8" fillId="3" borderId="3" xfId="0" applyFont="1" applyFill="1" applyBorder="1" applyAlignment="1">
      <alignment horizontal="center" wrapText="1"/>
    </xf>
    <xf numFmtId="0" fontId="6" fillId="3" borderId="0" xfId="0" applyFont="1" applyFill="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3" borderId="4" xfId="0" applyFont="1" applyFill="1" applyBorder="1" applyAlignment="1">
      <alignment horizontal="center"/>
    </xf>
    <xf numFmtId="0" fontId="6" fillId="3" borderId="8" xfId="0" applyFont="1" applyFill="1" applyBorder="1" applyAlignment="1">
      <alignment horizontal="center"/>
    </xf>
    <xf numFmtId="0" fontId="8" fillId="3" borderId="4" xfId="0" applyFont="1" applyFill="1" applyBorder="1" applyAlignment="1">
      <alignment horizontal="center" wrapText="1"/>
    </xf>
    <xf numFmtId="0" fontId="6" fillId="3" borderId="95" xfId="0" applyFont="1" applyFill="1" applyBorder="1" applyAlignment="1">
      <alignment horizontal="left" wrapText="1"/>
    </xf>
    <xf numFmtId="0" fontId="6" fillId="3" borderId="96" xfId="0" applyFont="1" applyFill="1" applyBorder="1" applyAlignment="1">
      <alignment horizontal="left" wrapText="1"/>
    </xf>
    <xf numFmtId="0" fontId="6" fillId="3" borderId="0" xfId="0" applyFont="1" applyFill="1" applyAlignment="1">
      <alignment horizontal="left" wrapText="1"/>
    </xf>
    <xf numFmtId="0" fontId="6" fillId="3" borderId="0" xfId="0" applyFont="1" applyFill="1" applyAlignment="1">
      <alignment vertical="top" wrapText="1"/>
    </xf>
    <xf numFmtId="0" fontId="6" fillId="3" borderId="0" xfId="0" applyFont="1" applyFill="1" applyAlignment="1">
      <alignment wrapText="1"/>
    </xf>
    <xf numFmtId="0" fontId="6" fillId="3" borderId="51" xfId="0" applyFont="1" applyFill="1" applyBorder="1" applyAlignment="1">
      <alignment horizontal="center"/>
    </xf>
    <xf numFmtId="0" fontId="6" fillId="3" borderId="70" xfId="0" applyFont="1" applyFill="1" applyBorder="1" applyAlignment="1">
      <alignment horizontal="center"/>
    </xf>
    <xf numFmtId="0" fontId="8" fillId="14" borderId="1" xfId="0" applyFont="1" applyFill="1" applyBorder="1" applyAlignment="1">
      <alignment vertical="center" wrapText="1"/>
    </xf>
  </cellXfs>
  <cellStyles count="3">
    <cellStyle name="Normal" xfId="0" builtinId="0"/>
    <cellStyle name="Normal 2" xfId="1" xr:uid="{BC27F4E2-20B8-47A4-9D90-F2F490171813}"/>
    <cellStyle name="Percent" xfId="2" builtinId="5"/>
  </cellStyles>
  <dxfs count="479">
    <dxf>
      <numFmt numFmtId="164" formatCode="0.0"/>
    </dxf>
    <dxf>
      <numFmt numFmtId="2" formatCode="0.00"/>
    </dxf>
    <dxf>
      <numFmt numFmtId="166" formatCode="0.0E+00"/>
    </dxf>
    <dxf>
      <numFmt numFmtId="1" formatCode="0"/>
    </dxf>
    <dxf>
      <numFmt numFmtId="166" formatCode="0.0E+00"/>
    </dxf>
    <dxf>
      <numFmt numFmtId="2" formatCode="0.00"/>
    </dxf>
    <dxf>
      <numFmt numFmtId="166" formatCode="0.0E+00"/>
    </dxf>
    <dxf>
      <numFmt numFmtId="164" formatCode="0.0"/>
    </dxf>
    <dxf>
      <numFmt numFmtId="166" formatCode="0.0E+00"/>
    </dxf>
    <dxf>
      <numFmt numFmtId="1" formatCode="0"/>
    </dxf>
    <dxf>
      <numFmt numFmtId="1" formatCode="0"/>
    </dxf>
    <dxf>
      <numFmt numFmtId="166" formatCode="0.0E+00"/>
    </dxf>
    <dxf>
      <numFmt numFmtId="166" formatCode="0.0E+00"/>
    </dxf>
    <dxf>
      <numFmt numFmtId="2" formatCode="0.00"/>
    </dxf>
    <dxf>
      <numFmt numFmtId="166" formatCode="0.0E+00"/>
    </dxf>
    <dxf>
      <numFmt numFmtId="164" formatCode="0.0"/>
    </dxf>
    <dxf>
      <numFmt numFmtId="164" formatCode="0.0"/>
    </dxf>
    <dxf>
      <numFmt numFmtId="166" formatCode="0.0E+00"/>
    </dxf>
    <dxf>
      <numFmt numFmtId="2" formatCode="0.00"/>
    </dxf>
    <dxf>
      <numFmt numFmtId="166" formatCode="0.0E+00"/>
    </dxf>
    <dxf>
      <numFmt numFmtId="166" formatCode="0.0E+00"/>
    </dxf>
    <dxf>
      <numFmt numFmtId="1" formatCode="0"/>
    </dxf>
    <dxf>
      <numFmt numFmtId="166" formatCode="0.0E+00"/>
    </dxf>
    <dxf>
      <numFmt numFmtId="164" formatCode="0.0"/>
    </dxf>
    <dxf>
      <numFmt numFmtId="1" formatCode="0"/>
    </dxf>
    <dxf>
      <numFmt numFmtId="2" formatCode="0.00"/>
    </dxf>
    <dxf>
      <numFmt numFmtId="166" formatCode="0.0E+00"/>
    </dxf>
    <dxf>
      <numFmt numFmtId="166" formatCode="0.0E+00"/>
    </dxf>
    <dxf>
      <numFmt numFmtId="166" formatCode="0.0E+00"/>
    </dxf>
    <dxf>
      <numFmt numFmtId="166" formatCode="0.0E+00"/>
    </dxf>
    <dxf>
      <numFmt numFmtId="1" formatCode="0"/>
    </dxf>
    <dxf>
      <numFmt numFmtId="164" formatCode="0.0"/>
    </dxf>
    <dxf>
      <numFmt numFmtId="166" formatCode="0.0E+00"/>
    </dxf>
    <dxf>
      <numFmt numFmtId="2" formatCode="0.00"/>
    </dxf>
    <dxf>
      <numFmt numFmtId="164" formatCode="0.0"/>
    </dxf>
    <dxf>
      <numFmt numFmtId="166" formatCode="0.0E+00"/>
    </dxf>
    <dxf>
      <numFmt numFmtId="2" formatCode="0.00"/>
    </dxf>
    <dxf>
      <numFmt numFmtId="166" formatCode="0.0E+00"/>
    </dxf>
    <dxf>
      <numFmt numFmtId="1" formatCode="0"/>
    </dxf>
    <dxf>
      <numFmt numFmtId="166" formatCode="0.0E+00"/>
    </dxf>
    <dxf>
      <numFmt numFmtId="166" formatCode="0.0E+00"/>
    </dxf>
    <dxf>
      <numFmt numFmtId="1" formatCode="0"/>
    </dxf>
    <dxf>
      <numFmt numFmtId="164" formatCode="0.0"/>
    </dxf>
    <dxf>
      <numFmt numFmtId="2" formatCode="0.00"/>
    </dxf>
    <dxf>
      <numFmt numFmtId="1" formatCode="0"/>
    </dxf>
    <dxf>
      <numFmt numFmtId="1" formatCode="0"/>
    </dxf>
    <dxf>
      <numFmt numFmtId="1" formatCode="0"/>
    </dxf>
    <dxf>
      <numFmt numFmtId="2" formatCode="0.00"/>
    </dxf>
    <dxf>
      <numFmt numFmtId="166" formatCode="0.0E+00"/>
    </dxf>
    <dxf>
      <numFmt numFmtId="164" formatCode="0.0"/>
    </dxf>
    <dxf>
      <numFmt numFmtId="166" formatCode="0.0E+00"/>
    </dxf>
    <dxf>
      <numFmt numFmtId="1" formatCode="0"/>
    </dxf>
    <dxf>
      <numFmt numFmtId="15" formatCode="0.00E+00"/>
    </dxf>
    <dxf>
      <numFmt numFmtId="2" formatCode="0.00"/>
    </dxf>
    <dxf>
      <numFmt numFmtId="164" formatCode="0.0"/>
    </dxf>
    <dxf>
      <numFmt numFmtId="1" formatCode="0"/>
    </dxf>
    <dxf>
      <numFmt numFmtId="15" formatCode="0.00E+00"/>
    </dxf>
    <dxf>
      <numFmt numFmtId="164" formatCode="0.0"/>
    </dxf>
    <dxf>
      <numFmt numFmtId="2" formatCode="0.00"/>
    </dxf>
    <dxf>
      <numFmt numFmtId="1" formatCode="0"/>
    </dxf>
    <dxf>
      <numFmt numFmtId="164" formatCode="0.0"/>
    </dxf>
    <dxf>
      <numFmt numFmtId="2" formatCode="0.00"/>
    </dxf>
    <dxf>
      <numFmt numFmtId="15" formatCode="0.00E+00"/>
    </dxf>
    <dxf>
      <numFmt numFmtId="1" formatCode="0"/>
    </dxf>
    <dxf>
      <numFmt numFmtId="166" formatCode="0.0E+00"/>
    </dxf>
    <dxf>
      <numFmt numFmtId="2" formatCode="0.00"/>
    </dxf>
    <dxf>
      <numFmt numFmtId="166" formatCode="0.0E+00"/>
    </dxf>
    <dxf>
      <numFmt numFmtId="164" formatCode="0.0"/>
    </dxf>
    <dxf>
      <numFmt numFmtId="166" formatCode="0.0E+00"/>
    </dxf>
    <dxf>
      <numFmt numFmtId="164" formatCode="0.0"/>
    </dxf>
    <dxf>
      <numFmt numFmtId="1" formatCode="0"/>
    </dxf>
    <dxf>
      <numFmt numFmtId="166" formatCode="0.0E+00"/>
    </dxf>
    <dxf>
      <numFmt numFmtId="2" formatCode="0.00"/>
    </dxf>
    <dxf>
      <numFmt numFmtId="166" formatCode="0.0E+00"/>
    </dxf>
    <dxf>
      <numFmt numFmtId="164" formatCode="0.0"/>
    </dxf>
    <dxf>
      <numFmt numFmtId="166" formatCode="0.0E+00"/>
    </dxf>
    <dxf>
      <numFmt numFmtId="2" formatCode="0.00"/>
    </dxf>
    <dxf>
      <numFmt numFmtId="1" formatCode="0"/>
    </dxf>
    <dxf>
      <numFmt numFmtId="2" formatCode="0.00"/>
    </dxf>
    <dxf>
      <numFmt numFmtId="166" formatCode="0.0E+00"/>
    </dxf>
    <dxf>
      <numFmt numFmtId="166" formatCode="0.0E+00"/>
    </dxf>
    <dxf>
      <numFmt numFmtId="164" formatCode="0.0"/>
    </dxf>
    <dxf>
      <numFmt numFmtId="1" formatCode="0"/>
    </dxf>
    <dxf>
      <numFmt numFmtId="1" formatCode="0"/>
    </dxf>
    <dxf>
      <numFmt numFmtId="164" formatCode="0.0"/>
    </dxf>
    <dxf>
      <numFmt numFmtId="166" formatCode="0.0E+00"/>
    </dxf>
    <dxf>
      <numFmt numFmtId="2" formatCode="0.00"/>
    </dxf>
    <dxf>
      <numFmt numFmtId="166" formatCode="0.0E+00"/>
    </dxf>
    <dxf>
      <numFmt numFmtId="1" formatCode="0"/>
    </dxf>
    <dxf>
      <numFmt numFmtId="164" formatCode="0.0"/>
    </dxf>
    <dxf>
      <numFmt numFmtId="166" formatCode="0.0E+00"/>
    </dxf>
    <dxf>
      <numFmt numFmtId="166" formatCode="0.0E+00"/>
    </dxf>
    <dxf>
      <numFmt numFmtId="1" formatCode="0"/>
    </dxf>
    <dxf>
      <numFmt numFmtId="2" formatCode="0.00"/>
    </dxf>
    <dxf>
      <numFmt numFmtId="164" formatCode="0.0"/>
    </dxf>
    <dxf>
      <numFmt numFmtId="166" formatCode="0.0E+00"/>
    </dxf>
    <dxf>
      <numFmt numFmtId="15" formatCode="0.00E+00"/>
    </dxf>
    <dxf>
      <numFmt numFmtId="2" formatCode="0.00"/>
    </dxf>
    <dxf>
      <numFmt numFmtId="1" formatCode="0"/>
    </dxf>
    <dxf>
      <numFmt numFmtId="1" formatCode="0"/>
    </dxf>
    <dxf>
      <numFmt numFmtId="164" formatCode="0.0"/>
    </dxf>
    <dxf>
      <numFmt numFmtId="166" formatCode="0.0E+00"/>
    </dxf>
    <dxf>
      <numFmt numFmtId="2" formatCode="0.00"/>
    </dxf>
    <dxf>
      <numFmt numFmtId="1" formatCode="0"/>
    </dxf>
    <dxf>
      <numFmt numFmtId="166" formatCode="0.0E+00"/>
    </dxf>
    <dxf>
      <numFmt numFmtId="164" formatCode="0.0"/>
    </dxf>
    <dxf>
      <numFmt numFmtId="166" formatCode="0.0E+00"/>
    </dxf>
    <dxf>
      <numFmt numFmtId="166" formatCode="0.0E+00"/>
    </dxf>
    <dxf>
      <numFmt numFmtId="2" formatCode="0.00"/>
    </dxf>
    <dxf>
      <numFmt numFmtId="166" formatCode="0.0E+00"/>
    </dxf>
    <dxf>
      <numFmt numFmtId="1" formatCode="0"/>
    </dxf>
    <dxf>
      <numFmt numFmtId="164" formatCode="0.0"/>
    </dxf>
    <dxf>
      <numFmt numFmtId="166" formatCode="0.0E+00"/>
    </dxf>
    <dxf>
      <numFmt numFmtId="2" formatCode="0.00"/>
    </dxf>
    <dxf>
      <numFmt numFmtId="1" formatCode="0"/>
    </dxf>
    <dxf>
      <numFmt numFmtId="164" formatCode="0.0"/>
    </dxf>
    <dxf>
      <numFmt numFmtId="166" formatCode="0.0E+00"/>
    </dxf>
    <dxf>
      <numFmt numFmtId="2" formatCode="0.00"/>
    </dxf>
    <dxf>
      <numFmt numFmtId="1" formatCode="0"/>
    </dxf>
    <dxf>
      <numFmt numFmtId="166" formatCode="0.0E+00"/>
    </dxf>
    <dxf>
      <numFmt numFmtId="166" formatCode="0.0E+00"/>
    </dxf>
    <dxf>
      <numFmt numFmtId="1" formatCode="0"/>
    </dxf>
    <dxf>
      <numFmt numFmtId="2" formatCode="0.00"/>
    </dxf>
    <dxf>
      <numFmt numFmtId="166" formatCode="0.0E+00"/>
    </dxf>
    <dxf>
      <numFmt numFmtId="164" formatCode="0.0"/>
    </dxf>
    <dxf>
      <numFmt numFmtId="2" formatCode="0.00"/>
    </dxf>
    <dxf>
      <numFmt numFmtId="164" formatCode="0.0"/>
    </dxf>
    <dxf>
      <numFmt numFmtId="1" formatCode="0"/>
    </dxf>
    <dxf>
      <numFmt numFmtId="166" formatCode="0.0E+00"/>
    </dxf>
    <dxf>
      <numFmt numFmtId="166" formatCode="0.0E+00"/>
    </dxf>
    <dxf>
      <numFmt numFmtId="15" formatCode="0.00E+00"/>
    </dxf>
    <dxf>
      <fill>
        <patternFill>
          <bgColor theme="0"/>
        </patternFill>
      </fill>
    </dxf>
    <dxf>
      <font>
        <color theme="0"/>
      </font>
      <fill>
        <patternFill>
          <bgColor theme="0"/>
        </patternFill>
      </fill>
    </dxf>
    <dxf>
      <fill>
        <patternFill>
          <bgColor theme="0"/>
        </patternFill>
      </fill>
    </dxf>
    <dxf>
      <numFmt numFmtId="15" formatCode="0.00E+00"/>
    </dxf>
    <dxf>
      <font>
        <color theme="0"/>
      </font>
      <fill>
        <patternFill>
          <bgColor theme="0"/>
        </patternFill>
      </fill>
    </dxf>
    <dxf>
      <numFmt numFmtId="166" formatCode="0.0E+00"/>
    </dxf>
    <dxf>
      <numFmt numFmtId="1" formatCode="0"/>
    </dxf>
    <dxf>
      <numFmt numFmtId="164" formatCode="0.0"/>
    </dxf>
    <dxf>
      <numFmt numFmtId="2" formatCode="0.00"/>
    </dxf>
    <dxf>
      <numFmt numFmtId="166" formatCode="0.0E+00"/>
    </dxf>
    <dxf>
      <numFmt numFmtId="171" formatCode="0;0;"/>
    </dxf>
    <dxf>
      <numFmt numFmtId="2" formatCode="0.00"/>
    </dxf>
    <dxf>
      <numFmt numFmtId="171" formatCode="0;0;"/>
    </dxf>
    <dxf>
      <numFmt numFmtId="166" formatCode="0.0E+00"/>
    </dxf>
    <dxf>
      <numFmt numFmtId="1" formatCode="0"/>
    </dxf>
    <dxf>
      <numFmt numFmtId="164" formatCode="0.0"/>
    </dxf>
    <dxf>
      <numFmt numFmtId="166" formatCode="0.0E+00"/>
    </dxf>
    <dxf>
      <fill>
        <patternFill>
          <bgColor rgb="FF00B050"/>
        </patternFill>
      </fill>
    </dxf>
    <dxf>
      <fill>
        <patternFill>
          <bgColor theme="0"/>
        </patternFill>
      </fill>
    </dxf>
    <dxf>
      <font>
        <color theme="0"/>
      </font>
      <fill>
        <patternFill>
          <bgColor theme="0"/>
        </patternFill>
      </fill>
    </dxf>
    <dxf>
      <fill>
        <patternFill>
          <bgColor theme="5"/>
        </patternFill>
      </fill>
    </dxf>
    <dxf>
      <numFmt numFmtId="166" formatCode="0.0E+00"/>
    </dxf>
    <dxf>
      <numFmt numFmtId="172" formatCode="#,##0.0"/>
    </dxf>
    <dxf>
      <numFmt numFmtId="1" formatCode="0"/>
    </dxf>
    <dxf>
      <font>
        <color theme="0"/>
      </font>
      <fill>
        <patternFill>
          <bgColor theme="0"/>
        </patternFill>
      </fill>
    </dxf>
    <dxf>
      <numFmt numFmtId="3" formatCode="#,##0"/>
    </dxf>
    <dxf>
      <numFmt numFmtId="164" formatCode="0.0"/>
    </dxf>
    <dxf>
      <numFmt numFmtId="15" formatCode="0.00E+00"/>
    </dxf>
    <dxf>
      <fill>
        <patternFill>
          <bgColor theme="0"/>
        </patternFill>
      </fill>
    </dxf>
    <dxf>
      <font>
        <color theme="0"/>
      </font>
      <fill>
        <patternFill>
          <bgColor theme="0"/>
        </patternFill>
      </fill>
    </dxf>
    <dxf>
      <fill>
        <patternFill>
          <bgColor theme="0"/>
        </patternFill>
      </fill>
    </dxf>
    <dxf>
      <numFmt numFmtId="15" formatCode="0.00E+00"/>
    </dxf>
    <dxf>
      <numFmt numFmtId="164" formatCode="0.0"/>
    </dxf>
    <dxf>
      <numFmt numFmtId="3" formatCode="#,##0"/>
    </dxf>
    <dxf>
      <font>
        <color theme="0"/>
      </font>
      <fill>
        <patternFill>
          <bgColor theme="0"/>
        </patternFill>
      </fill>
    </dxf>
    <dxf>
      <fill>
        <patternFill>
          <bgColor theme="0"/>
        </patternFill>
      </fill>
    </dxf>
    <dxf>
      <numFmt numFmtId="15" formatCode="0.00E+00"/>
    </dxf>
    <dxf>
      <numFmt numFmtId="164" formatCode="0.0"/>
    </dxf>
    <dxf>
      <numFmt numFmtId="3" formatCode="#,##0"/>
    </dxf>
    <dxf>
      <fill>
        <patternFill>
          <bgColor theme="0"/>
        </patternFill>
      </fill>
    </dxf>
    <dxf>
      <font>
        <color theme="0"/>
      </font>
      <fill>
        <patternFill>
          <bgColor theme="0"/>
        </patternFill>
      </fill>
    </dxf>
    <dxf>
      <numFmt numFmtId="15" formatCode="0.00E+00"/>
    </dxf>
    <dxf>
      <numFmt numFmtId="164" formatCode="0.0"/>
    </dxf>
    <dxf>
      <numFmt numFmtId="3" formatCode="#,##0"/>
    </dxf>
    <dxf>
      <numFmt numFmtId="164" formatCode="0.0"/>
    </dxf>
    <dxf>
      <numFmt numFmtId="3" formatCode="#,##0"/>
    </dxf>
    <dxf>
      <font>
        <color theme="0"/>
      </font>
      <fill>
        <patternFill>
          <bgColor theme="0"/>
        </patternFill>
      </fill>
    </dxf>
    <dxf>
      <fill>
        <patternFill>
          <bgColor theme="0"/>
        </patternFill>
      </fill>
    </dxf>
    <dxf>
      <numFmt numFmtId="15" formatCode="0.00E+00"/>
    </dxf>
    <dxf>
      <numFmt numFmtId="15" formatCode="0.00E+00"/>
    </dxf>
    <dxf>
      <fill>
        <patternFill>
          <bgColor theme="0"/>
        </patternFill>
      </fill>
    </dxf>
    <dxf>
      <font>
        <color theme="0"/>
      </font>
      <fill>
        <patternFill>
          <bgColor theme="0"/>
        </patternFill>
      </fill>
    </dxf>
    <dxf>
      <fill>
        <patternFill>
          <bgColor theme="5"/>
        </patternFill>
      </fill>
    </dxf>
    <dxf>
      <fill>
        <patternFill>
          <bgColor rgb="FF00B050"/>
        </patternFill>
      </fill>
    </dxf>
    <dxf>
      <fill>
        <patternFill>
          <bgColor theme="0"/>
        </patternFill>
      </fill>
    </dxf>
    <dxf>
      <font>
        <color theme="0"/>
      </font>
      <fill>
        <patternFill>
          <bgColor theme="0"/>
        </patternFill>
      </fill>
    </dxf>
    <dxf>
      <numFmt numFmtId="15" formatCode="0.00E+00"/>
    </dxf>
    <dxf>
      <fill>
        <patternFill>
          <bgColor theme="0"/>
        </patternFill>
      </fill>
    </dxf>
    <dxf>
      <numFmt numFmtId="166" formatCode="0.0E+00"/>
    </dxf>
    <dxf>
      <numFmt numFmtId="166" formatCode="0.0E+00"/>
    </dxf>
    <dxf>
      <numFmt numFmtId="2" formatCode="0.00"/>
    </dxf>
    <dxf>
      <numFmt numFmtId="164" formatCode="0.0"/>
    </dxf>
    <dxf>
      <numFmt numFmtId="1" formatCode="0"/>
    </dxf>
    <dxf>
      <numFmt numFmtId="171" formatCode="0;0;"/>
    </dxf>
    <dxf>
      <numFmt numFmtId="3" formatCode="#,##0"/>
    </dxf>
    <dxf>
      <numFmt numFmtId="164" formatCode="0.0"/>
    </dxf>
    <dxf>
      <numFmt numFmtId="15" formatCode="0.00E+00"/>
    </dxf>
    <dxf>
      <fill>
        <patternFill>
          <bgColor theme="0"/>
        </patternFill>
      </fill>
    </dxf>
    <dxf>
      <font>
        <color theme="0"/>
      </font>
      <fill>
        <patternFill>
          <bgColor theme="0"/>
        </patternFill>
      </fill>
    </dxf>
    <dxf>
      <font>
        <color theme="0"/>
      </font>
      <fill>
        <patternFill>
          <bgColor theme="0"/>
        </patternFill>
      </fill>
    </dxf>
    <dxf>
      <fill>
        <patternFill>
          <bgColor theme="0"/>
        </patternFill>
      </fill>
    </dxf>
    <dxf>
      <numFmt numFmtId="3" formatCode="#,##0"/>
    </dxf>
    <dxf>
      <numFmt numFmtId="164" formatCode="0.0"/>
    </dxf>
    <dxf>
      <numFmt numFmtId="15" formatCode="0.00E+00"/>
    </dxf>
    <dxf>
      <fill>
        <patternFill>
          <bgColor theme="0"/>
        </patternFill>
      </fill>
    </dxf>
    <dxf>
      <numFmt numFmtId="15" formatCode="0.00E+00"/>
    </dxf>
    <dxf>
      <font>
        <color theme="0"/>
      </font>
      <fill>
        <patternFill>
          <bgColor theme="0"/>
        </patternFill>
      </fill>
    </dxf>
    <dxf>
      <fill>
        <patternFill>
          <bgColor theme="5"/>
        </patternFill>
      </fill>
    </dxf>
    <dxf>
      <fill>
        <patternFill>
          <bgColor rgb="FF00B050"/>
        </patternFill>
      </fill>
    </dxf>
    <dxf>
      <font>
        <color theme="0"/>
      </font>
      <fill>
        <patternFill>
          <bgColor theme="0"/>
        </patternFill>
      </fill>
    </dxf>
    <dxf>
      <numFmt numFmtId="15" formatCode="0.00E+00"/>
    </dxf>
    <dxf>
      <numFmt numFmtId="172" formatCode="#,##0.0"/>
    </dxf>
    <dxf>
      <numFmt numFmtId="1" formatCode="0"/>
    </dxf>
    <dxf>
      <numFmt numFmtId="2" formatCode="0.00"/>
    </dxf>
    <dxf>
      <numFmt numFmtId="166" formatCode="0.0E+00"/>
    </dxf>
    <dxf>
      <numFmt numFmtId="1" formatCode="0"/>
    </dxf>
    <dxf>
      <numFmt numFmtId="166" formatCode="0.0E+00"/>
    </dxf>
    <dxf>
      <numFmt numFmtId="171" formatCode="0;0;"/>
    </dxf>
    <dxf>
      <numFmt numFmtId="164" formatCode="0.0"/>
    </dxf>
    <dxf>
      <numFmt numFmtId="166" formatCode="0.0E+00"/>
    </dxf>
    <dxf>
      <numFmt numFmtId="171" formatCode="0;0;"/>
    </dxf>
    <dxf>
      <numFmt numFmtId="2" formatCode="0.00"/>
    </dxf>
    <dxf>
      <numFmt numFmtId="164" formatCode="0.0"/>
    </dxf>
    <dxf>
      <numFmt numFmtId="1" formatCode="0"/>
    </dxf>
    <dxf>
      <numFmt numFmtId="166" formatCode="0.0E+00"/>
    </dxf>
    <dxf>
      <numFmt numFmtId="3" formatCode="#,##0"/>
    </dxf>
    <dxf>
      <font>
        <color theme="0"/>
      </font>
      <fill>
        <patternFill>
          <bgColor theme="0"/>
        </patternFill>
      </fill>
    </dxf>
    <dxf>
      <fill>
        <patternFill>
          <bgColor theme="0"/>
        </patternFill>
      </fill>
    </dxf>
    <dxf>
      <numFmt numFmtId="15" formatCode="0.00E+00"/>
    </dxf>
    <dxf>
      <numFmt numFmtId="164" formatCode="0.0"/>
    </dxf>
    <dxf>
      <numFmt numFmtId="164" formatCode="0.0"/>
    </dxf>
    <dxf>
      <font>
        <color theme="0"/>
      </font>
      <fill>
        <patternFill>
          <bgColor theme="0"/>
        </patternFill>
      </fill>
    </dxf>
    <dxf>
      <fill>
        <patternFill>
          <bgColor theme="0"/>
        </patternFill>
      </fill>
    </dxf>
    <dxf>
      <numFmt numFmtId="15" formatCode="0.00E+00"/>
    </dxf>
    <dxf>
      <numFmt numFmtId="3" formatCode="#,##0"/>
    </dxf>
    <dxf>
      <fill>
        <patternFill>
          <bgColor theme="0"/>
        </patternFill>
      </fill>
    </dxf>
    <dxf>
      <font>
        <color theme="0"/>
      </font>
      <fill>
        <patternFill>
          <bgColor theme="0"/>
        </patternFill>
      </fill>
    </dxf>
    <dxf>
      <numFmt numFmtId="15" formatCode="0.00E+00"/>
    </dxf>
    <dxf>
      <fill>
        <patternFill>
          <bgColor rgb="FF00B050"/>
        </patternFill>
      </fill>
    </dxf>
    <dxf>
      <fill>
        <patternFill>
          <bgColor theme="5"/>
        </patternFill>
      </fill>
    </dxf>
    <dxf>
      <fill>
        <patternFill>
          <bgColor theme="5"/>
        </patternFill>
      </fill>
    </dxf>
    <dxf>
      <fill>
        <patternFill>
          <bgColor rgb="FF00B050"/>
        </patternFill>
      </fill>
    </dxf>
    <dxf>
      <fill>
        <patternFill>
          <bgColor theme="5"/>
        </patternFill>
      </fill>
    </dxf>
    <dxf>
      <fill>
        <patternFill>
          <bgColor rgb="FF00B050"/>
        </patternFill>
      </fill>
    </dxf>
    <dxf>
      <fill>
        <patternFill>
          <bgColor rgb="FF00B050"/>
        </patternFill>
      </fill>
    </dxf>
    <dxf>
      <fill>
        <patternFill>
          <bgColor theme="5"/>
        </patternFill>
      </fill>
    </dxf>
    <dxf>
      <fill>
        <patternFill>
          <bgColor rgb="FF00B050"/>
        </patternFill>
      </fill>
    </dxf>
    <dxf>
      <fill>
        <patternFill>
          <bgColor theme="5"/>
        </patternFill>
      </fill>
    </dxf>
    <dxf>
      <numFmt numFmtId="15" formatCode="0.00E+00"/>
    </dxf>
    <dxf>
      <font>
        <color theme="0"/>
      </font>
      <fill>
        <patternFill>
          <bgColor theme="0"/>
        </patternFill>
      </fill>
    </dxf>
    <dxf>
      <fill>
        <patternFill>
          <bgColor theme="0"/>
        </patternFill>
      </fill>
    </dxf>
    <dxf>
      <numFmt numFmtId="3" formatCode="#,##0"/>
    </dxf>
    <dxf>
      <numFmt numFmtId="164" formatCode="0.0"/>
    </dxf>
    <dxf>
      <numFmt numFmtId="15" formatCode="0.00E+00"/>
    </dxf>
    <dxf>
      <numFmt numFmtId="164" formatCode="0.0"/>
    </dxf>
    <dxf>
      <numFmt numFmtId="3" formatCode="#,##0"/>
    </dxf>
    <dxf>
      <font>
        <color theme="0"/>
      </font>
      <fill>
        <patternFill>
          <bgColor theme="0"/>
        </patternFill>
      </fill>
    </dxf>
    <dxf>
      <fill>
        <patternFill>
          <bgColor theme="0"/>
        </patternFill>
      </fill>
    </dxf>
    <dxf>
      <font>
        <color theme="0"/>
      </font>
      <fill>
        <patternFill>
          <bgColor theme="0"/>
        </patternFill>
      </fill>
    </dxf>
    <dxf>
      <fill>
        <patternFill>
          <bgColor theme="0"/>
        </patternFill>
      </fill>
    </dxf>
    <dxf>
      <numFmt numFmtId="15" formatCode="0.00E+00"/>
    </dxf>
    <dxf>
      <numFmt numFmtId="164" formatCode="0.0"/>
    </dxf>
    <dxf>
      <numFmt numFmtId="3" formatCode="#,##0"/>
    </dxf>
    <dxf>
      <numFmt numFmtId="3" formatCode="#,##0"/>
    </dxf>
    <dxf>
      <font>
        <color theme="0"/>
      </font>
      <fill>
        <patternFill>
          <bgColor theme="0"/>
        </patternFill>
      </fill>
    </dxf>
    <dxf>
      <numFmt numFmtId="164" formatCode="0.0"/>
    </dxf>
    <dxf>
      <numFmt numFmtId="15" formatCode="0.00E+00"/>
    </dxf>
    <dxf>
      <fill>
        <patternFill>
          <bgColor theme="0"/>
        </patternFill>
      </fill>
    </dxf>
    <dxf>
      <numFmt numFmtId="3" formatCode="#,##0"/>
    </dxf>
    <dxf>
      <numFmt numFmtId="15" formatCode="0.00E+00"/>
    </dxf>
    <dxf>
      <fill>
        <patternFill>
          <bgColor theme="0"/>
        </patternFill>
      </fill>
    </dxf>
    <dxf>
      <font>
        <color theme="0"/>
      </font>
      <fill>
        <patternFill>
          <bgColor theme="0"/>
        </patternFill>
      </fill>
    </dxf>
    <dxf>
      <numFmt numFmtId="164" formatCode="0.0"/>
    </dxf>
    <dxf>
      <fill>
        <patternFill>
          <bgColor rgb="FF00B050"/>
        </patternFill>
      </fill>
    </dxf>
    <dxf>
      <fill>
        <patternFill>
          <bgColor theme="5"/>
        </patternFill>
      </fill>
    </dxf>
    <dxf>
      <numFmt numFmtId="3" formatCode="#,##0"/>
    </dxf>
    <dxf>
      <numFmt numFmtId="164" formatCode="0.0"/>
    </dxf>
    <dxf>
      <numFmt numFmtId="15" formatCode="0.00E+00"/>
    </dxf>
    <dxf>
      <fill>
        <patternFill>
          <bgColor theme="0"/>
        </patternFill>
      </fill>
    </dxf>
    <dxf>
      <font>
        <color theme="0"/>
      </font>
      <fill>
        <patternFill>
          <bgColor theme="0"/>
        </patternFill>
      </fill>
    </dxf>
    <dxf>
      <numFmt numFmtId="3" formatCode="#,##0"/>
    </dxf>
    <dxf>
      <numFmt numFmtId="164" formatCode="0.0"/>
    </dxf>
    <dxf>
      <numFmt numFmtId="15" formatCode="0.00E+00"/>
    </dxf>
    <dxf>
      <fill>
        <patternFill>
          <bgColor theme="0"/>
        </patternFill>
      </fill>
    </dxf>
    <dxf>
      <font>
        <color theme="0"/>
      </font>
      <fill>
        <patternFill>
          <bgColor theme="0"/>
        </patternFill>
      </fill>
    </dxf>
    <dxf>
      <numFmt numFmtId="166" formatCode="0.0E+00"/>
    </dxf>
    <dxf>
      <font>
        <color theme="0"/>
      </font>
      <fill>
        <patternFill>
          <bgColor theme="0"/>
        </patternFill>
      </fill>
    </dxf>
    <dxf>
      <fill>
        <patternFill>
          <bgColor theme="0"/>
        </patternFill>
      </fill>
    </dxf>
    <dxf>
      <numFmt numFmtId="3" formatCode="#,##0"/>
    </dxf>
    <dxf>
      <numFmt numFmtId="164" formatCode="0.0"/>
    </dxf>
    <dxf>
      <font>
        <color theme="0"/>
      </font>
      <fill>
        <patternFill>
          <bgColor theme="0"/>
        </patternFill>
      </fill>
    </dxf>
    <dxf>
      <numFmt numFmtId="15" formatCode="0.00E+00"/>
    </dxf>
    <dxf>
      <fill>
        <patternFill>
          <bgColor theme="0"/>
        </patternFill>
      </fill>
    </dxf>
    <dxf>
      <numFmt numFmtId="15" formatCode="0.00E+00"/>
    </dxf>
    <dxf>
      <numFmt numFmtId="164" formatCode="0.0"/>
    </dxf>
    <dxf>
      <numFmt numFmtId="3" formatCode="#,##0"/>
    </dxf>
    <dxf>
      <fill>
        <patternFill>
          <bgColor theme="5"/>
        </patternFill>
      </fill>
    </dxf>
    <dxf>
      <fill>
        <patternFill>
          <bgColor rgb="FF00B050"/>
        </patternFill>
      </fill>
    </dxf>
    <dxf>
      <fill>
        <patternFill>
          <bgColor theme="0"/>
        </patternFill>
      </fill>
    </dxf>
    <dxf>
      <font>
        <color theme="0"/>
      </font>
      <fill>
        <patternFill>
          <bgColor theme="0"/>
        </patternFill>
      </fill>
    </dxf>
    <dxf>
      <fill>
        <patternFill>
          <bgColor theme="5"/>
        </patternFill>
      </fill>
    </dxf>
    <dxf>
      <fill>
        <patternFill>
          <bgColor rgb="FF00B050"/>
        </patternFill>
      </fill>
    </dxf>
    <dxf>
      <fill>
        <patternFill>
          <bgColor theme="5"/>
        </patternFill>
      </fill>
    </dxf>
    <dxf>
      <numFmt numFmtId="164" formatCode="0.0"/>
    </dxf>
    <dxf>
      <fill>
        <patternFill>
          <bgColor theme="5"/>
        </patternFill>
      </fill>
    </dxf>
    <dxf>
      <fill>
        <patternFill>
          <bgColor rgb="FF00B050"/>
        </patternFill>
      </fill>
    </dxf>
    <dxf>
      <numFmt numFmtId="3" formatCode="#,##0"/>
    </dxf>
    <dxf>
      <numFmt numFmtId="15" formatCode="0.00E+00"/>
    </dxf>
    <dxf>
      <fill>
        <patternFill>
          <bgColor theme="0"/>
        </patternFill>
      </fill>
    </dxf>
    <dxf>
      <font>
        <color theme="0"/>
      </font>
      <fill>
        <patternFill>
          <bgColor theme="0"/>
        </patternFill>
      </fill>
    </dxf>
    <dxf>
      <numFmt numFmtId="3" formatCode="#,##0"/>
    </dxf>
    <dxf>
      <numFmt numFmtId="164" formatCode="0.0"/>
    </dxf>
    <dxf>
      <numFmt numFmtId="15" formatCode="0.00E+00"/>
    </dxf>
    <dxf>
      <fill>
        <patternFill>
          <bgColor theme="0"/>
        </patternFill>
      </fill>
    </dxf>
    <dxf>
      <font>
        <color theme="0"/>
      </font>
      <fill>
        <patternFill>
          <bgColor theme="0"/>
        </patternFill>
      </fill>
    </dxf>
    <dxf>
      <fill>
        <patternFill>
          <bgColor rgb="FF00B050"/>
        </patternFill>
      </fill>
    </dxf>
    <dxf>
      <fill>
        <patternFill>
          <bgColor theme="5"/>
        </patternFill>
      </fill>
    </dxf>
    <dxf>
      <numFmt numFmtId="164" formatCode="0.0"/>
    </dxf>
    <dxf>
      <numFmt numFmtId="15" formatCode="0.00E+00"/>
    </dxf>
    <dxf>
      <fill>
        <patternFill>
          <bgColor theme="0"/>
        </patternFill>
      </fill>
    </dxf>
    <dxf>
      <font>
        <color theme="0"/>
      </font>
      <fill>
        <patternFill>
          <bgColor theme="0"/>
        </patternFill>
      </fill>
    </dxf>
    <dxf>
      <fill>
        <patternFill>
          <bgColor theme="5"/>
        </patternFill>
      </fill>
    </dxf>
    <dxf>
      <fill>
        <patternFill>
          <bgColor rgb="FF00B050"/>
        </patternFill>
      </fill>
    </dxf>
    <dxf>
      <fill>
        <patternFill>
          <bgColor rgb="FF00B050"/>
        </patternFill>
      </fill>
    </dxf>
    <dxf>
      <numFmt numFmtId="3" formatCode="#,##0"/>
    </dxf>
    <dxf>
      <fill>
        <patternFill>
          <bgColor rgb="FF00B050"/>
        </patternFill>
      </fill>
    </dxf>
    <dxf>
      <fill>
        <patternFill>
          <bgColor theme="5"/>
        </patternFill>
      </fill>
    </dxf>
    <dxf>
      <font>
        <color theme="0"/>
      </font>
      <fill>
        <patternFill>
          <bgColor theme="0"/>
        </patternFill>
      </fill>
    </dxf>
    <dxf>
      <numFmt numFmtId="15" formatCode="0.00E+00"/>
    </dxf>
    <dxf>
      <fill>
        <patternFill>
          <bgColor theme="0"/>
        </patternFill>
      </fill>
    </dxf>
    <dxf>
      <numFmt numFmtId="3" formatCode="#,##0"/>
    </dxf>
    <dxf>
      <numFmt numFmtId="164" formatCode="0.0"/>
    </dxf>
    <dxf>
      <numFmt numFmtId="15" formatCode="0.00E+00"/>
    </dxf>
    <dxf>
      <fill>
        <patternFill>
          <bgColor theme="0"/>
        </patternFill>
      </fill>
    </dxf>
    <dxf>
      <font>
        <color theme="0"/>
      </font>
      <fill>
        <patternFill>
          <bgColor theme="0"/>
        </patternFill>
      </fill>
    </dxf>
    <dxf>
      <fill>
        <patternFill>
          <bgColor theme="0"/>
        </patternFill>
      </fill>
    </dxf>
    <dxf>
      <numFmt numFmtId="164" formatCode="0.0"/>
    </dxf>
    <dxf>
      <numFmt numFmtId="15" formatCode="0.00E+00"/>
    </dxf>
    <dxf>
      <numFmt numFmtId="3" formatCode="#,##0"/>
    </dxf>
    <dxf>
      <fill>
        <patternFill>
          <bgColor rgb="FF00B050"/>
        </patternFill>
      </fill>
    </dxf>
    <dxf>
      <fill>
        <patternFill>
          <bgColor theme="0"/>
        </patternFill>
      </fill>
    </dxf>
    <dxf>
      <numFmt numFmtId="3" formatCode="#,##0"/>
    </dxf>
    <dxf>
      <numFmt numFmtId="15" formatCode="0.00E+00"/>
    </dxf>
    <dxf>
      <font>
        <color theme="0"/>
      </font>
      <fill>
        <patternFill>
          <bgColor theme="0"/>
        </patternFill>
      </fill>
    </dxf>
    <dxf>
      <numFmt numFmtId="164" formatCode="0.0"/>
    </dxf>
    <dxf>
      <fill>
        <patternFill>
          <bgColor theme="5"/>
        </patternFill>
      </fill>
    </dxf>
    <dxf>
      <font>
        <color theme="0"/>
      </font>
      <fill>
        <patternFill>
          <bgColor theme="0"/>
        </patternFill>
      </fill>
    </dxf>
    <dxf>
      <fill>
        <patternFill>
          <bgColor rgb="FF00B050"/>
        </patternFill>
      </fill>
    </dxf>
    <dxf>
      <fill>
        <patternFill>
          <bgColor theme="5"/>
        </patternFill>
      </fill>
    </dxf>
    <dxf>
      <font>
        <color theme="0"/>
      </font>
      <fill>
        <patternFill>
          <bgColor theme="0"/>
        </patternFill>
      </fill>
    </dxf>
    <dxf>
      <fill>
        <patternFill>
          <bgColor theme="0"/>
        </patternFill>
      </fill>
    </dxf>
    <dxf>
      <numFmt numFmtId="15" formatCode="0.00E+00"/>
    </dxf>
    <dxf>
      <numFmt numFmtId="164" formatCode="0.0"/>
    </dxf>
    <dxf>
      <numFmt numFmtId="3" formatCode="#,##0"/>
    </dxf>
    <dxf>
      <numFmt numFmtId="2" formatCode="0.00"/>
    </dxf>
    <dxf>
      <numFmt numFmtId="164" formatCode="0.0"/>
    </dxf>
    <dxf>
      <numFmt numFmtId="1" formatCode="0"/>
    </dxf>
    <dxf>
      <numFmt numFmtId="171" formatCode="0;0;"/>
    </dxf>
    <dxf>
      <numFmt numFmtId="166" formatCode="0.0E+00"/>
    </dxf>
    <dxf>
      <numFmt numFmtId="166" formatCode="0.0E+00"/>
    </dxf>
    <dxf>
      <numFmt numFmtId="3" formatCode="#,##0"/>
    </dxf>
    <dxf>
      <font>
        <color theme="0"/>
      </font>
      <fill>
        <patternFill>
          <bgColor theme="0"/>
        </patternFill>
      </fill>
    </dxf>
    <dxf>
      <numFmt numFmtId="164" formatCode="0.0"/>
    </dxf>
    <dxf>
      <numFmt numFmtId="15" formatCode="0.00E+00"/>
    </dxf>
    <dxf>
      <fill>
        <patternFill>
          <bgColor theme="0"/>
        </patternFill>
      </fill>
    </dxf>
    <dxf>
      <numFmt numFmtId="15" formatCode="0.00E+00"/>
    </dxf>
    <dxf>
      <fill>
        <patternFill>
          <bgColor theme="0"/>
        </patternFill>
      </fill>
    </dxf>
    <dxf>
      <font>
        <color theme="0"/>
      </font>
      <fill>
        <patternFill>
          <bgColor theme="0"/>
        </patternFill>
      </fill>
    </dxf>
    <dxf>
      <numFmt numFmtId="3" formatCode="#,##0"/>
    </dxf>
    <dxf>
      <numFmt numFmtId="164" formatCode="0.0"/>
    </dxf>
    <dxf>
      <numFmt numFmtId="15" formatCode="0.00E+00"/>
    </dxf>
    <dxf>
      <fill>
        <patternFill>
          <bgColor theme="0"/>
        </patternFill>
      </fill>
    </dxf>
    <dxf>
      <font>
        <color theme="0"/>
      </font>
      <fill>
        <patternFill>
          <bgColor theme="0"/>
        </patternFill>
      </fill>
    </dxf>
    <dxf>
      <fill>
        <patternFill>
          <bgColor theme="5"/>
        </patternFill>
      </fill>
    </dxf>
    <dxf>
      <fill>
        <patternFill>
          <bgColor rgb="FF00B050"/>
        </patternFill>
      </fill>
    </dxf>
    <dxf>
      <numFmt numFmtId="171" formatCode="0;0;"/>
    </dxf>
    <dxf>
      <numFmt numFmtId="2" formatCode="0.00"/>
    </dxf>
    <dxf>
      <numFmt numFmtId="166" formatCode="0.0E+00"/>
    </dxf>
    <dxf>
      <numFmt numFmtId="164" formatCode="0.0"/>
    </dxf>
    <dxf>
      <numFmt numFmtId="166" formatCode="0.0E+00"/>
    </dxf>
    <dxf>
      <numFmt numFmtId="1" formatCode="0"/>
    </dxf>
    <dxf>
      <fill>
        <patternFill>
          <bgColor theme="0"/>
        </patternFill>
      </fill>
    </dxf>
    <dxf>
      <numFmt numFmtId="3" formatCode="#,##0"/>
    </dxf>
    <dxf>
      <numFmt numFmtId="164" formatCode="0.0"/>
    </dxf>
    <dxf>
      <numFmt numFmtId="166" formatCode="0.0E+00"/>
    </dxf>
    <dxf>
      <numFmt numFmtId="15" formatCode="0.00E+00"/>
    </dxf>
    <dxf>
      <fill>
        <patternFill>
          <bgColor theme="0"/>
        </patternFill>
      </fill>
    </dxf>
    <dxf>
      <font>
        <color theme="0"/>
      </font>
      <fill>
        <patternFill>
          <bgColor theme="0"/>
        </patternFill>
      </fill>
    </dxf>
    <dxf>
      <font>
        <strike val="0"/>
        <outline val="0"/>
        <shadow val="0"/>
        <u val="none"/>
        <vertAlign val="baseline"/>
        <sz val="10"/>
        <color auto="1"/>
        <name val="Times New Roman"/>
        <family val="1"/>
        <scheme val="none"/>
      </font>
    </dxf>
    <dxf>
      <font>
        <strike val="0"/>
        <outline val="0"/>
        <shadow val="0"/>
        <u val="none"/>
        <vertAlign val="baseline"/>
        <sz val="10"/>
        <color auto="1"/>
        <name val="Times New Roman"/>
        <family val="1"/>
        <scheme val="none"/>
      </font>
      <fill>
        <patternFill patternType="solid">
          <fgColor indexed="64"/>
          <bgColor theme="0"/>
        </patternFill>
      </fill>
      <alignment horizontal="center" vertical="center" textRotation="0" wrapText="0" indent="0" justifyLastLine="0" shrinkToFit="0" readingOrder="0"/>
      <border diagonalUp="0" diagonalDown="0" outline="0">
        <left/>
        <right/>
        <top style="dashed">
          <color auto="1"/>
        </top>
        <bottom/>
      </border>
    </dxf>
    <dxf>
      <font>
        <strike val="0"/>
        <outline val="0"/>
        <shadow val="0"/>
        <u val="none"/>
        <vertAlign val="baseline"/>
        <sz val="10"/>
        <color auto="1"/>
        <name val="Times New Roman"/>
        <family val="1"/>
        <scheme val="none"/>
      </font>
    </dxf>
    <dxf>
      <font>
        <strike val="0"/>
        <outline val="0"/>
        <shadow val="0"/>
        <u val="none"/>
        <vertAlign val="baseline"/>
        <sz val="10"/>
        <color auto="1"/>
        <name val="Times New Roman"/>
        <family val="1"/>
        <scheme val="none"/>
      </font>
    </dxf>
    <dxf>
      <font>
        <strike val="0"/>
        <outline val="0"/>
        <shadow val="0"/>
        <u val="none"/>
        <vertAlign val="baseline"/>
        <sz val="10"/>
        <color auto="1"/>
        <name val="Times New Roman"/>
        <family val="1"/>
        <scheme val="none"/>
      </font>
      <numFmt numFmtId="2" formatCode="0.00"/>
      <fill>
        <patternFill patternType="solid">
          <fgColor indexed="64"/>
          <bgColor theme="0"/>
        </patternFill>
      </fill>
      <alignment horizontal="center" vertical="center" textRotation="0" wrapText="0" indent="0" justifyLastLine="0" shrinkToFit="0" readingOrder="0"/>
      <border diagonalUp="0" diagonalDown="0" outline="0">
        <left/>
        <right/>
        <top style="dashed">
          <color auto="1"/>
        </top>
        <bottom/>
      </border>
    </dxf>
    <dxf>
      <font>
        <strike val="0"/>
        <outline val="0"/>
        <shadow val="0"/>
        <u val="none"/>
        <vertAlign val="baseline"/>
        <sz val="10"/>
        <color auto="1"/>
        <name val="Times New Roman"/>
        <family val="1"/>
        <scheme val="none"/>
      </font>
    </dxf>
    <dxf>
      <font>
        <strike val="0"/>
        <outline val="0"/>
        <shadow val="0"/>
        <u val="none"/>
        <vertAlign val="baseline"/>
        <sz val="10"/>
        <color auto="1"/>
        <name val="Times New Roman"/>
        <family val="1"/>
        <scheme val="none"/>
      </font>
    </dxf>
    <dxf>
      <font>
        <strike val="0"/>
        <outline val="0"/>
        <shadow val="0"/>
        <u val="none"/>
        <vertAlign val="baseline"/>
        <sz val="10"/>
        <color auto="1"/>
        <name val="Times New Roman"/>
        <family val="1"/>
        <scheme val="none"/>
      </font>
      <fill>
        <patternFill patternType="solid">
          <fgColor indexed="64"/>
          <bgColor theme="0"/>
        </patternFill>
      </fill>
      <alignment horizontal="left" vertical="center" textRotation="0" wrapText="0" indent="0" justifyLastLine="0" shrinkToFit="0" readingOrder="0"/>
      <border diagonalUp="0" diagonalDown="0" outline="0">
        <left/>
        <right/>
        <top style="dashed">
          <color auto="1"/>
        </top>
        <bottom/>
      </border>
    </dxf>
    <dxf>
      <font>
        <strike val="0"/>
        <outline val="0"/>
        <shadow val="0"/>
        <u val="none"/>
        <vertAlign val="baseline"/>
        <sz val="10"/>
        <color auto="1"/>
        <name val="Times New Roman"/>
        <family val="1"/>
        <scheme val="none"/>
      </font>
      <fill>
        <patternFill patternType="solid">
          <fgColor indexed="64"/>
          <bgColor theme="0"/>
        </patternFill>
      </fill>
      <alignment horizontal="left" vertical="center" textRotation="0" wrapText="1" indent="0" justifyLastLine="0" shrinkToFit="0" readingOrder="0"/>
      <border diagonalUp="0" diagonalDown="0" outline="0">
        <left/>
        <right/>
        <top style="dashed">
          <color auto="1"/>
        </top>
        <bottom/>
      </border>
    </dxf>
    <dxf>
      <font>
        <strike val="0"/>
        <outline val="0"/>
        <shadow val="0"/>
        <u val="none"/>
        <vertAlign val="baseline"/>
        <sz val="10"/>
        <color auto="1"/>
        <name val="Times New Roman"/>
        <family val="1"/>
        <scheme val="none"/>
      </font>
    </dxf>
    <dxf>
      <border outline="0">
        <left style="thin">
          <color auto="1"/>
        </left>
        <right style="thin">
          <color auto="1"/>
        </right>
        <bottom style="thin">
          <color auto="1"/>
        </bottom>
      </border>
    </dxf>
    <dxf>
      <font>
        <strike val="0"/>
        <outline val="0"/>
        <shadow val="0"/>
        <u val="none"/>
        <vertAlign val="baseline"/>
        <sz val="10"/>
        <color auto="1"/>
        <name val="Times New Roman"/>
        <family val="1"/>
        <scheme val="none"/>
      </font>
    </dxf>
    <dxf>
      <font>
        <b/>
        <i val="0"/>
        <strike val="0"/>
        <condense val="0"/>
        <extend val="0"/>
        <outline val="0"/>
        <shadow val="0"/>
        <u val="none"/>
        <vertAlign val="baseline"/>
        <sz val="10"/>
        <color auto="1"/>
        <name val="Times New Roman"/>
        <family val="1"/>
        <scheme val="none"/>
      </font>
      <fill>
        <patternFill patternType="solid">
          <fgColor indexed="64"/>
          <bgColor theme="0"/>
        </patternFill>
      </fill>
      <alignment horizontal="center" vertical="bottom" textRotation="0" wrapText="1" indent="0" justifyLastLine="0" shrinkToFit="0" readingOrder="0"/>
    </dxf>
    <dxf>
      <font>
        <strike val="0"/>
        <outline val="0"/>
        <shadow val="0"/>
        <u val="none"/>
        <sz val="10"/>
        <name val="Times New Roman"/>
        <family val="1"/>
        <scheme val="none"/>
      </font>
    </dxf>
    <dxf>
      <font>
        <strike val="0"/>
        <outline val="0"/>
        <shadow val="0"/>
        <u val="none"/>
        <sz val="10"/>
        <name val="Times New Roman"/>
        <family val="1"/>
        <scheme val="none"/>
      </font>
    </dxf>
    <dxf>
      <font>
        <strike val="0"/>
        <outline val="0"/>
        <shadow val="0"/>
        <u val="none"/>
        <sz val="10"/>
        <name val="Times New Roman"/>
        <family val="1"/>
        <scheme val="none"/>
      </font>
    </dxf>
    <dxf>
      <font>
        <strike val="0"/>
        <outline val="0"/>
        <shadow val="0"/>
        <u val="none"/>
        <sz val="10"/>
        <name val="Times New Roman"/>
        <family val="1"/>
        <scheme val="none"/>
      </font>
    </dxf>
    <dxf>
      <font>
        <strike val="0"/>
        <outline val="0"/>
        <shadow val="0"/>
        <u val="none"/>
        <sz val="10"/>
        <name val="Times New Roman"/>
        <family val="1"/>
        <scheme val="none"/>
      </font>
    </dxf>
    <dxf>
      <font>
        <strike val="0"/>
        <outline val="0"/>
        <shadow val="0"/>
        <u val="none"/>
        <sz val="10"/>
        <name val="Times New Roman"/>
        <family val="1"/>
        <scheme val="none"/>
      </font>
    </dxf>
    <dxf>
      <font>
        <strike val="0"/>
        <outline val="0"/>
        <shadow val="0"/>
        <u val="none"/>
        <sz val="10"/>
        <name val="Times New Roman"/>
        <family val="1"/>
        <scheme val="none"/>
      </font>
    </dxf>
    <dxf>
      <font>
        <strike val="0"/>
        <outline val="0"/>
        <shadow val="0"/>
        <u val="none"/>
        <sz val="10"/>
        <name val="Times New Roman"/>
        <family val="1"/>
        <scheme val="none"/>
      </font>
    </dxf>
    <dxf>
      <font>
        <strike val="0"/>
        <outline val="0"/>
        <shadow val="0"/>
        <u val="none"/>
        <sz val="10"/>
        <name val="Times New Roman"/>
        <family val="1"/>
        <scheme val="none"/>
      </font>
    </dxf>
    <dxf>
      <font>
        <strike val="0"/>
        <outline val="0"/>
        <shadow val="0"/>
        <u val="none"/>
        <sz val="10"/>
        <name val="Times New Roman"/>
        <family val="1"/>
        <scheme val="none"/>
      </font>
    </dxf>
    <dxf>
      <font>
        <strike val="0"/>
        <outline val="0"/>
        <shadow val="0"/>
        <u val="none"/>
        <sz val="10"/>
        <name val="Times New Roman"/>
        <family val="1"/>
        <scheme val="none"/>
      </font>
    </dxf>
    <dxf>
      <border outline="0">
        <left style="thin">
          <color auto="1"/>
        </left>
        <right style="thin">
          <color auto="1"/>
        </right>
        <bottom style="thin">
          <color auto="1"/>
        </bottom>
      </border>
    </dxf>
    <dxf>
      <font>
        <strike val="0"/>
        <outline val="0"/>
        <shadow val="0"/>
        <u val="none"/>
        <sz val="10"/>
        <name val="Times New Roman"/>
        <family val="1"/>
        <scheme val="none"/>
      </font>
    </dxf>
    <dxf>
      <border outline="0">
        <bottom style="dashed">
          <color auto="1"/>
        </bottom>
      </border>
    </dxf>
    <dxf>
      <font>
        <b/>
        <i val="0"/>
        <strike val="0"/>
        <condense val="0"/>
        <extend val="0"/>
        <outline val="0"/>
        <shadow val="0"/>
        <u val="none"/>
        <vertAlign val="baseline"/>
        <sz val="10"/>
        <color auto="1"/>
        <name val="Times New Roman"/>
        <family val="1"/>
        <scheme val="none"/>
      </font>
      <fill>
        <patternFill patternType="solid">
          <fgColor indexed="64"/>
          <bgColor theme="0"/>
        </patternFill>
      </fill>
      <alignment horizontal="center" vertical="bottom" textRotation="0" wrapText="1" indent="0" justifyLastLine="0" shrinkToFit="0" readingOrder="0"/>
    </dxf>
    <dxf>
      <font>
        <b val="0"/>
        <i val="0"/>
        <strike val="0"/>
        <condense val="0"/>
        <extend val="0"/>
        <outline val="0"/>
        <shadow val="0"/>
        <u val="none"/>
        <vertAlign val="baseline"/>
        <sz val="10"/>
        <color theme="1"/>
        <name val="Times New Roman"/>
        <family val="1"/>
        <scheme val="none"/>
      </font>
      <numFmt numFmtId="166" formatCode="0.0E+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strike val="0"/>
        <outline val="0"/>
        <shadow val="0"/>
        <u val="none"/>
        <sz val="10"/>
        <name val="Times New Roman"/>
        <family val="1"/>
        <scheme val="none"/>
      </font>
      <numFmt numFmtId="166" formatCode="0.0E+00"/>
      <fill>
        <patternFill patternType="none">
          <fgColor indexed="64"/>
          <bgColor auto="1"/>
        </patternFill>
      </fill>
      <alignment horizontal="center" vertical="center" textRotation="0" indent="0" justifyLastLine="0" shrinkToFit="0" readingOrder="0"/>
      <border diagonalUp="0" diagonalDown="0">
        <left style="thin">
          <color auto="1"/>
        </left>
        <right style="thin">
          <color auto="1"/>
        </right>
        <top style="thin">
          <color indexed="64"/>
        </top>
        <bottom style="thin">
          <color indexed="64"/>
        </bottom>
      </border>
    </dxf>
    <dxf>
      <font>
        <b val="0"/>
        <i val="0"/>
        <strike val="0"/>
        <condense val="0"/>
        <extend val="0"/>
        <outline val="0"/>
        <shadow val="0"/>
        <u val="none"/>
        <vertAlign val="baseline"/>
        <sz val="10"/>
        <color auto="1"/>
        <name val="Times New Roman"/>
        <family val="1"/>
        <scheme val="none"/>
      </font>
      <numFmt numFmtId="15" formatCode="0.00E+00"/>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style="thin">
          <color auto="1"/>
        </bottom>
        <vertical/>
        <horizontal/>
      </border>
    </dxf>
    <dxf>
      <font>
        <strike val="0"/>
        <outline val="0"/>
        <shadow val="0"/>
        <u val="none"/>
        <sz val="10"/>
        <color auto="1"/>
        <name val="Times New Roman"/>
        <family val="1"/>
        <scheme val="none"/>
      </font>
      <numFmt numFmtId="15" formatCode="0.00E+00"/>
      <fill>
        <patternFill patternType="none">
          <fgColor indexed="64"/>
          <bgColor auto="1"/>
        </patternFill>
      </fill>
      <alignment horizontal="center" vertical="center" textRotation="0" wrapText="1" indent="0" justifyLastLine="0" shrinkToFit="0" readingOrder="0"/>
      <border diagonalUp="0" diagonalDown="0">
        <left style="thin">
          <color auto="1"/>
        </left>
        <right style="thin">
          <color auto="1"/>
        </right>
        <top/>
        <bottom style="thin">
          <color auto="1"/>
        </bottom>
      </border>
    </dxf>
    <dxf>
      <font>
        <b val="0"/>
        <i val="0"/>
        <strike val="0"/>
        <condense val="0"/>
        <extend val="0"/>
        <outline val="0"/>
        <shadow val="0"/>
        <u val="none"/>
        <vertAlign val="baseline"/>
        <sz val="10"/>
        <color theme="1"/>
        <name val="Times New Roman"/>
        <family val="1"/>
        <scheme val="none"/>
      </font>
      <numFmt numFmtId="166" formatCode="0.0E+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style="thin">
          <color auto="1"/>
        </bottom>
        <vertical/>
        <horizontal/>
      </border>
    </dxf>
    <dxf>
      <font>
        <strike val="0"/>
        <outline val="0"/>
        <shadow val="0"/>
        <u val="none"/>
        <sz val="10"/>
        <name val="Times New Roman"/>
        <family val="1"/>
        <scheme val="none"/>
      </font>
      <numFmt numFmtId="166" formatCode="0.0E+00"/>
      <fill>
        <patternFill patternType="none">
          <fgColor indexed="64"/>
          <bgColor auto="1"/>
        </patternFill>
      </fill>
      <alignment horizontal="center" vertical="center" textRotation="0" indent="0" justifyLastLine="0" shrinkToFit="0" readingOrder="0"/>
      <border diagonalUp="0" diagonalDown="0">
        <left style="thin">
          <color auto="1"/>
        </left>
        <right style="thin">
          <color auto="1"/>
        </right>
        <top style="thin">
          <color indexed="64"/>
        </top>
        <bottom style="thin">
          <color indexed="64"/>
        </bottom>
      </border>
    </dxf>
    <dxf>
      <font>
        <b val="0"/>
        <i val="0"/>
        <strike val="0"/>
        <condense val="0"/>
        <extend val="0"/>
        <outline val="0"/>
        <shadow val="0"/>
        <u val="none"/>
        <vertAlign val="baseline"/>
        <sz val="10"/>
        <color theme="1"/>
        <name val="Times New Roman"/>
        <family val="1"/>
        <scheme val="none"/>
      </font>
      <numFmt numFmtId="166" formatCode="0.0E+00"/>
      <fill>
        <patternFill patternType="none">
          <fgColor indexed="64"/>
          <bgColor auto="1"/>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dxf>
    <dxf>
      <font>
        <strike val="0"/>
        <outline val="0"/>
        <shadow val="0"/>
        <u val="none"/>
        <sz val="10"/>
        <name val="Times New Roman"/>
        <family val="1"/>
        <scheme val="none"/>
      </font>
      <numFmt numFmtId="166" formatCode="0.0E+00"/>
      <fill>
        <patternFill patternType="none">
          <fgColor indexed="64"/>
          <bgColor auto="1"/>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166" formatCode="0.0E+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Times New Roman"/>
        <family val="1"/>
        <scheme val="none"/>
      </font>
      <numFmt numFmtId="166" formatCode="0.0E+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Times New Roman"/>
        <family val="1"/>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rgb="FF000000"/>
        <name val="Times New Roman"/>
        <family val="1"/>
        <scheme val="none"/>
      </font>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Times New Roman"/>
        <family val="1"/>
        <scheme val="none"/>
      </font>
      <alignment horizontal="general" vertical="center" textRotation="0" wrapText="1" indent="0" justifyLastLine="0" shrinkToFit="0" readingOrder="0"/>
      <border diagonalUp="0" diagonalDown="0">
        <left style="medium">
          <color auto="1"/>
        </left>
        <right style="medium">
          <color auto="1"/>
        </right>
        <top style="thin">
          <color auto="1"/>
        </top>
        <bottom style="thin">
          <color auto="1"/>
        </bottom>
        <vertical/>
        <horizontal/>
      </border>
    </dxf>
    <dxf>
      <font>
        <strike val="0"/>
        <outline val="0"/>
        <shadow val="0"/>
        <u val="none"/>
        <sz val="10"/>
        <name val="Times New Roman"/>
        <family val="1"/>
        <scheme val="none"/>
      </font>
      <numFmt numFmtId="166" formatCode="0.0E+00"/>
      <fill>
        <patternFill>
          <fgColor indexed="64"/>
          <bgColor theme="0"/>
        </patternFill>
      </fill>
      <alignment horizontal="center" vertical="center" textRotation="0" wrapText="1" indent="0" justifyLastLine="0" shrinkToFit="0" readingOrder="0"/>
      <border diagonalUp="0" diagonalDown="0">
        <left style="medium">
          <color auto="1"/>
        </left>
        <right style="medium">
          <color auto="1"/>
        </right>
        <top style="thin">
          <color auto="1"/>
        </top>
        <bottom style="thin">
          <color auto="1"/>
        </bottom>
        <vertical/>
        <horizontal/>
      </border>
    </dxf>
    <dxf>
      <border outline="0">
        <right style="thin">
          <color auto="1"/>
        </right>
        <bottom style="thin">
          <color indexed="64"/>
        </bottom>
      </border>
    </dxf>
    <dxf>
      <font>
        <strike val="0"/>
        <outline val="0"/>
        <shadow val="0"/>
        <u val="none"/>
        <sz val="10"/>
        <name val="Times New Roman"/>
        <family val="1"/>
        <scheme val="none"/>
      </font>
    </dxf>
    <dxf>
      <font>
        <strike val="0"/>
        <outline val="0"/>
        <shadow val="0"/>
        <u val="none"/>
        <sz val="10"/>
        <name val="Times New Roman"/>
        <family val="1"/>
        <scheme val="none"/>
      </font>
    </dxf>
    <dxf>
      <font>
        <b val="0"/>
        <i val="0"/>
        <strike val="0"/>
        <condense val="0"/>
        <extend val="0"/>
        <outline val="0"/>
        <shadow val="0"/>
        <u val="none"/>
        <vertAlign val="baseline"/>
        <sz val="10"/>
        <color theme="1"/>
        <name val="Times New Roman"/>
        <family val="1"/>
        <scheme val="none"/>
      </font>
      <fill>
        <patternFill patternType="none">
          <fgColor indexed="64"/>
          <bgColor rgb="FFFFFF00"/>
        </patternFill>
      </fill>
      <alignment horizontal="general" vertical="center" textRotation="0" wrapText="1" indent="0" justifyLastLine="0" shrinkToFit="0" readingOrder="0"/>
      <border diagonalUp="0" diagonalDown="0">
        <left style="thin">
          <color indexed="64"/>
        </left>
        <right style="medium">
          <color indexed="64"/>
        </right>
        <top style="thin">
          <color indexed="64"/>
        </top>
        <bottom/>
      </border>
    </dxf>
    <dxf>
      <font>
        <b val="0"/>
        <i val="0"/>
        <strike val="0"/>
        <condense val="0"/>
        <extend val="0"/>
        <outline val="0"/>
        <shadow val="0"/>
        <u val="none"/>
        <vertAlign val="baseline"/>
        <sz val="10"/>
        <color theme="1"/>
        <name val="Times New Roman"/>
        <family val="1"/>
        <scheme val="none"/>
      </font>
      <fill>
        <patternFill patternType="solid">
          <fgColor indexed="64"/>
          <bgColor rgb="FFFFFF00"/>
        </patternFill>
      </fill>
      <alignment horizontal="general" vertical="center" textRotation="0" wrapText="1" indent="0" justifyLastLine="0" shrinkToFit="0" readingOrder="0"/>
      <border diagonalUp="0" diagonalDown="0" outline="0">
        <left style="thin">
          <color indexed="64"/>
        </left>
        <right style="medium">
          <color indexed="64"/>
        </right>
        <top style="thin">
          <color indexed="64"/>
        </top>
        <bottom style="thin">
          <color indexed="64"/>
        </bottom>
      </border>
    </dxf>
    <dxf>
      <font>
        <b val="0"/>
        <i val="0"/>
        <strike val="0"/>
        <condense val="0"/>
        <extend val="0"/>
        <outline val="0"/>
        <shadow val="0"/>
        <u val="none"/>
        <vertAlign val="baseline"/>
        <sz val="10"/>
        <color theme="1"/>
        <name val="Times New Roman"/>
        <family val="1"/>
        <scheme val="none"/>
      </font>
      <fill>
        <patternFill patternType="none">
          <fgColor indexed="64"/>
          <bgColor rgb="FFFFFF00"/>
        </patternFill>
      </fill>
      <alignment horizontal="general" vertical="center" textRotation="0" wrapText="1"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fill>
        <patternFill patternType="solid">
          <fgColor indexed="64"/>
          <bgColor rgb="FFFFFF00"/>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1" formatCode="0"/>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1" formatCode="0"/>
      <fill>
        <patternFill patternType="solid">
          <fgColor indexed="64"/>
          <bgColor rgb="FFFFFF0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1" formatCode="0"/>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1" formatCode="0"/>
      <fill>
        <patternFill patternType="solid">
          <fgColor indexed="64"/>
          <bgColor rgb="FFFFFF0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2" formatCode="0.00"/>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2" formatCode="0.00"/>
      <fill>
        <patternFill patternType="solid">
          <fgColor indexed="64"/>
          <bgColor rgb="FFFFFF0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2" formatCode="0.00"/>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2" formatCode="0.00"/>
      <fill>
        <patternFill patternType="solid">
          <fgColor indexed="64"/>
          <bgColor rgb="FFFFFF0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15" formatCode="0.00E+00"/>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15" formatCode="0.00E+00"/>
      <fill>
        <patternFill patternType="solid">
          <fgColor indexed="64"/>
          <bgColor rgb="FFFFFF0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15" formatCode="0.00E+00"/>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15" formatCode="0.00E+00"/>
      <fill>
        <patternFill patternType="solid">
          <fgColor indexed="64"/>
          <bgColor rgb="FFFFFF0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2" formatCode="0.00"/>
      <fill>
        <patternFill patternType="none">
          <fgColor indexed="64"/>
          <bgColor theme="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2" formatCode="0.00"/>
      <fill>
        <patternFill patternType="solid">
          <fgColor indexed="64"/>
          <bgColor theme="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2" formatCode="0.00"/>
      <fill>
        <patternFill patternType="none">
          <fgColor indexed="64"/>
          <bgColor theme="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2" formatCode="0.00"/>
      <fill>
        <patternFill patternType="solid">
          <fgColor indexed="64"/>
          <bgColor theme="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15" formatCode="0.00E+00"/>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15" formatCode="0.00E+00"/>
      <fill>
        <patternFill patternType="solid">
          <fgColor indexed="64"/>
          <bgColor rgb="FFFFFF0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15" formatCode="0.00E+00"/>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15" formatCode="0.00E+00"/>
      <fill>
        <patternFill patternType="solid">
          <fgColor indexed="64"/>
          <bgColor rgb="FFFFFF0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15" formatCode="0.00E+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strike val="0"/>
        <outline val="0"/>
        <shadow val="0"/>
        <u val="none"/>
        <vertAlign val="baseline"/>
        <sz val="10"/>
        <color theme="1"/>
        <name val="Times New Roman"/>
        <family val="1"/>
        <scheme val="none"/>
      </font>
      <numFmt numFmtId="15" formatCode="0.00E+00"/>
      <fill>
        <patternFill patternType="none">
          <fgColor indexed="64"/>
          <bgColor auto="1"/>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Times New Roman"/>
        <family val="1"/>
        <scheme val="none"/>
      </font>
      <numFmt numFmtId="15" formatCode="0.00E+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strike val="0"/>
        <outline val="0"/>
        <shadow val="0"/>
        <u val="none"/>
        <vertAlign val="baseline"/>
        <sz val="10"/>
        <color theme="1"/>
        <name val="Times New Roman"/>
        <family val="1"/>
        <scheme val="none"/>
      </font>
      <numFmt numFmtId="15" formatCode="0.00E+00"/>
      <fill>
        <patternFill patternType="none">
          <fgColor indexed="64"/>
          <bgColor auto="1"/>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Times New Roman"/>
        <family val="1"/>
        <scheme val="none"/>
      </font>
      <numFmt numFmtId="0" formatCode="General"/>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0" formatCode="General"/>
      <fill>
        <patternFill patternType="solid">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numFmt numFmtId="0" formatCode="General"/>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numFmt numFmtId="0" formatCode="General"/>
      <fill>
        <patternFill patternType="solid">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fill>
        <patternFill patternType="none">
          <fgColor indexed="64"/>
          <bgColor rgb="FFFFFF00"/>
        </patternFill>
      </fill>
      <alignment horizontal="center" vertical="center" textRotation="0" wrapText="0"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theme="1"/>
        <name val="Times New Roman"/>
        <family val="1"/>
        <scheme val="none"/>
      </font>
      <fill>
        <patternFill patternType="solid">
          <fgColor indexed="64"/>
          <bgColor rgb="FFFFFF00"/>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rgb="FF000000"/>
        <name val="Times New Roman"/>
        <family val="1"/>
        <scheme val="none"/>
      </font>
      <fill>
        <patternFill patternType="none">
          <fgColor indexed="64"/>
          <bgColor rgb="FFFFFF00"/>
        </patternFill>
      </fill>
      <alignment horizontal="center" vertical="center" textRotation="0" wrapText="1" indent="0" justifyLastLine="0" shrinkToFit="0" readingOrder="0"/>
      <border diagonalUp="0" diagonalDown="0">
        <left style="thin">
          <color auto="1"/>
        </left>
        <right style="thin">
          <color auto="1"/>
        </right>
        <top style="thin">
          <color auto="1"/>
        </top>
        <bottom/>
      </border>
    </dxf>
    <dxf>
      <font>
        <b val="0"/>
        <i val="0"/>
        <strike val="0"/>
        <condense val="0"/>
        <extend val="0"/>
        <outline val="0"/>
        <shadow val="0"/>
        <u val="none"/>
        <vertAlign val="baseline"/>
        <sz val="10"/>
        <color rgb="FF000000"/>
        <name val="Times New Roman"/>
        <family val="1"/>
        <scheme val="none"/>
      </font>
      <fill>
        <patternFill patternType="solid">
          <fgColor indexed="64"/>
          <bgColor rgb="FFFFFF0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theme="1"/>
        <name val="Times New Roman"/>
        <family val="1"/>
        <scheme val="none"/>
      </font>
      <fill>
        <patternFill patternType="none">
          <fgColor indexed="64"/>
          <bgColor rgb="FFFFFF00"/>
        </patternFill>
      </fill>
      <alignment horizontal="general" vertical="center" textRotation="0" wrapText="1" indent="0" justifyLastLine="0" shrinkToFit="0" readingOrder="0"/>
      <border diagonalUp="0" diagonalDown="0">
        <left style="medium">
          <color auto="1"/>
        </left>
        <right style="medium">
          <color auto="1"/>
        </right>
        <top style="thin">
          <color auto="1"/>
        </top>
        <bottom/>
      </border>
    </dxf>
    <dxf>
      <font>
        <b val="0"/>
        <i val="0"/>
        <strike val="0"/>
        <condense val="0"/>
        <extend val="0"/>
        <outline val="0"/>
        <shadow val="0"/>
        <u val="none"/>
        <vertAlign val="baseline"/>
        <sz val="10"/>
        <color theme="1"/>
        <name val="Times New Roman"/>
        <family val="1"/>
        <scheme val="none"/>
      </font>
      <fill>
        <patternFill patternType="solid">
          <fgColor indexed="64"/>
          <bgColor rgb="FFFFFF00"/>
        </patternFill>
      </fill>
      <alignment horizontal="general" vertical="center" textRotation="0" wrapText="1" indent="0" justifyLastLine="0" shrinkToFit="0" readingOrder="0"/>
      <border diagonalUp="0" diagonalDown="0">
        <left style="medium">
          <color auto="1"/>
        </left>
        <right style="medium">
          <color auto="1"/>
        </right>
        <top style="thin">
          <color auto="1"/>
        </top>
        <bottom style="thin">
          <color auto="1"/>
        </bottom>
        <vertical/>
        <horizontal/>
      </border>
    </dxf>
    <dxf>
      <font>
        <b val="0"/>
        <i val="0"/>
        <strike val="0"/>
        <condense val="0"/>
        <extend val="0"/>
        <outline val="0"/>
        <shadow val="0"/>
        <u val="none"/>
        <vertAlign val="baseline"/>
        <sz val="10"/>
        <color theme="1"/>
        <name val="Times New Roman"/>
        <family val="1"/>
        <scheme val="none"/>
      </font>
      <fill>
        <patternFill patternType="none">
          <fgColor indexed="64"/>
          <bgColor rgb="FFFFFF00"/>
        </patternFill>
      </fill>
      <alignment horizontal="center" vertical="center" textRotation="0" wrapText="1" indent="0" justifyLastLine="0" shrinkToFit="0" readingOrder="0"/>
      <border diagonalUp="0" diagonalDown="0">
        <left style="medium">
          <color auto="1"/>
        </left>
        <right style="medium">
          <color auto="1"/>
        </right>
        <top style="thin">
          <color auto="1"/>
        </top>
        <bottom/>
      </border>
    </dxf>
    <dxf>
      <font>
        <b val="0"/>
        <i val="0"/>
        <strike val="0"/>
        <condense val="0"/>
        <extend val="0"/>
        <outline val="0"/>
        <shadow val="0"/>
        <u val="none"/>
        <vertAlign val="baseline"/>
        <sz val="10"/>
        <color theme="1"/>
        <name val="Times New Roman"/>
        <family val="1"/>
        <scheme val="none"/>
      </font>
      <fill>
        <patternFill patternType="solid">
          <fgColor indexed="64"/>
          <bgColor rgb="FFFFFF00"/>
        </patternFill>
      </fill>
      <alignment horizontal="center" vertical="center" textRotation="0" wrapText="1" indent="0" justifyLastLine="0" shrinkToFit="0" readingOrder="0"/>
      <border diagonalUp="0" diagonalDown="0">
        <left style="medium">
          <color auto="1"/>
        </left>
        <right style="medium">
          <color auto="1"/>
        </right>
        <top style="thin">
          <color auto="1"/>
        </top>
        <bottom style="thin">
          <color auto="1"/>
        </bottom>
        <vertical/>
        <horizontal/>
      </border>
    </dxf>
    <dxf>
      <font>
        <b val="0"/>
        <i val="0"/>
        <strike val="0"/>
        <condense val="0"/>
        <extend val="0"/>
        <outline val="0"/>
        <shadow val="0"/>
        <u val="none"/>
        <vertAlign val="baseline"/>
        <sz val="10"/>
        <color theme="1"/>
        <name val="Times New Roman"/>
        <family val="1"/>
        <scheme val="none"/>
      </font>
      <fill>
        <patternFill patternType="none"/>
      </fill>
      <border diagonalUp="0" diagonalDown="0">
        <left/>
        <right style="thin">
          <color auto="1"/>
        </right>
        <top/>
        <bottom/>
      </border>
    </dxf>
    <dxf>
      <font>
        <b val="0"/>
        <i val="0"/>
        <strike val="0"/>
        <condense val="0"/>
        <extend val="0"/>
        <outline val="0"/>
        <shadow val="0"/>
        <u val="none"/>
        <vertAlign val="baseline"/>
        <sz val="10"/>
        <color theme="1"/>
        <name val="Times New Roman"/>
        <family val="1"/>
        <scheme val="none"/>
      </font>
      <border outline="0">
        <right style="thin">
          <color auto="1"/>
        </right>
      </border>
    </dxf>
    <dxf>
      <font>
        <b val="0"/>
        <i val="0"/>
        <strike val="0"/>
        <condense val="0"/>
        <extend val="0"/>
        <outline val="0"/>
        <shadow val="0"/>
        <u val="none"/>
        <vertAlign val="baseline"/>
        <sz val="10"/>
        <color theme="1"/>
        <name val="Times New Roman"/>
        <family val="1"/>
        <scheme val="none"/>
      </font>
    </dxf>
    <dxf>
      <font>
        <b val="0"/>
        <i val="0"/>
        <strike val="0"/>
        <condense val="0"/>
        <extend val="0"/>
        <outline val="0"/>
        <shadow val="0"/>
        <u val="none"/>
        <vertAlign val="baseline"/>
        <sz val="10"/>
        <color auto="1"/>
        <name val="Times New Roman"/>
        <family val="1"/>
        <scheme val="none"/>
      </font>
    </dxf>
  </dxfs>
  <tableStyles count="0" defaultTableStyle="TableStyleMedium2" defaultPivotStyle="PivotStyleLight16"/>
  <colors>
    <mruColors>
      <color rgb="FFF04B18"/>
      <color rgb="FFD43D0E"/>
      <color rgb="FFF15A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552450</xdr:colOff>
      <xdr:row>4</xdr:row>
      <xdr:rowOff>95250</xdr:rowOff>
    </xdr:from>
    <xdr:to>
      <xdr:col>5</xdr:col>
      <xdr:colOff>144247</xdr:colOff>
      <xdr:row>7</xdr:row>
      <xdr:rowOff>58522</xdr:rowOff>
    </xdr:to>
    <xdr:pic>
      <xdr:nvPicPr>
        <xdr:cNvPr id="4" name="Picture 3">
          <a:extLst>
            <a:ext uri="{FF2B5EF4-FFF2-40B4-BE49-F238E27FC236}">
              <a16:creationId xmlns:a16="http://schemas.microsoft.com/office/drawing/2014/main" id="{4AD00A4E-84EC-5832-AC7E-E8F7D60A9474}"/>
            </a:ext>
          </a:extLst>
        </xdr:cNvPr>
        <xdr:cNvPicPr>
          <a:picLocks noChangeAspect="1"/>
        </xdr:cNvPicPr>
      </xdr:nvPicPr>
      <xdr:blipFill>
        <a:blip xmlns:r="http://schemas.openxmlformats.org/officeDocument/2006/relationships" r:embed="rId1"/>
        <a:stretch>
          <a:fillRect/>
        </a:stretch>
      </xdr:blipFill>
      <xdr:spPr>
        <a:xfrm>
          <a:off x="1447800" y="1257300"/>
          <a:ext cx="2639797" cy="26397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981075</xdr:colOff>
      <xdr:row>1</xdr:row>
      <xdr:rowOff>19049</xdr:rowOff>
    </xdr:from>
    <xdr:to>
      <xdr:col>11</xdr:col>
      <xdr:colOff>400050</xdr:colOff>
      <xdr:row>3</xdr:row>
      <xdr:rowOff>245268</xdr:rowOff>
    </xdr:to>
    <xdr:sp macro="" textlink="">
      <xdr:nvSpPr>
        <xdr:cNvPr id="4" name="TextBox 3">
          <a:extLst>
            <a:ext uri="{FF2B5EF4-FFF2-40B4-BE49-F238E27FC236}">
              <a16:creationId xmlns:a16="http://schemas.microsoft.com/office/drawing/2014/main" id="{2C23DA81-FB55-437E-9302-C2E02213CA4A}"/>
            </a:ext>
          </a:extLst>
        </xdr:cNvPr>
        <xdr:cNvSpPr txBox="1"/>
      </xdr:nvSpPr>
      <xdr:spPr>
        <a:xfrm>
          <a:off x="5267325" y="190499"/>
          <a:ext cx="4152900" cy="1235869"/>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000" b="1"/>
            <a:t>Key</a:t>
          </a:r>
          <a:endParaRPr lang="en-US" sz="1000"/>
        </a:p>
        <a:p>
          <a:r>
            <a:rPr lang="en-US" sz="1000"/>
            <a:t>             =  </a:t>
          </a:r>
          <a:r>
            <a:rPr lang="en-US" sz="1000">
              <a:solidFill>
                <a:srgbClr val="FF0000"/>
              </a:solidFill>
            </a:rPr>
            <a:t>Risk</a:t>
          </a:r>
          <a:r>
            <a:rPr lang="en-US" sz="1000"/>
            <a:t>.  </a:t>
          </a:r>
          <a:r>
            <a:rPr lang="en-US" sz="1000" baseline="0"/>
            <a:t>       </a:t>
          </a:r>
          <a:r>
            <a:rPr lang="en-US" sz="1000" i="1"/>
            <a:t>MOE</a:t>
          </a:r>
          <a:r>
            <a:rPr lang="en-US" sz="1000" i="1" baseline="-25000"/>
            <a:t>acute or chronic</a:t>
          </a:r>
          <a:r>
            <a:rPr lang="en-US" sz="1000" i="1" baseline="0"/>
            <a:t> &lt; MOE</a:t>
          </a:r>
          <a:r>
            <a:rPr lang="en-US" sz="1000" i="1" baseline="-25000"/>
            <a:t>benchmark</a:t>
          </a:r>
          <a:endParaRPr lang="en-US" sz="1000" i="0" baseline="0"/>
        </a:p>
        <a:p>
          <a:r>
            <a:rPr lang="en-US" sz="1000" i="0" baseline="0"/>
            <a:t>                                  </a:t>
          </a:r>
          <a:r>
            <a:rPr lang="en-US" sz="1000" i="1" baseline="0"/>
            <a:t>Risk &gt; Benchmark Risk Level</a:t>
          </a:r>
        </a:p>
        <a:p>
          <a:endParaRPr lang="en-US" sz="1000" i="1" baseline="0"/>
        </a:p>
        <a:p>
          <a:pPr marL="0" marR="0" indent="0" defTabSz="914400" eaLnBrk="1" fontAlgn="auto" latinLnBrk="0" hangingPunct="1">
            <a:lnSpc>
              <a:spcPct val="100000"/>
            </a:lnSpc>
            <a:spcBef>
              <a:spcPts val="0"/>
            </a:spcBef>
            <a:spcAft>
              <a:spcPts val="0"/>
            </a:spcAft>
            <a:buClrTx/>
            <a:buSzTx/>
            <a:buFontTx/>
            <a:buNone/>
            <a:tabLst/>
            <a:defRPr/>
          </a:pPr>
          <a:r>
            <a:rPr lang="en-US" sz="1000">
              <a:solidFill>
                <a:schemeClr val="dk1"/>
              </a:solidFill>
              <a:latin typeface="+mn-lt"/>
              <a:ea typeface="+mn-ea"/>
              <a:cs typeface="+mn-cs"/>
            </a:rPr>
            <a:t>             =  </a:t>
          </a:r>
          <a:r>
            <a:rPr lang="en-US" sz="1000">
              <a:solidFill>
                <a:srgbClr val="339933"/>
              </a:solidFill>
              <a:latin typeface="+mn-lt"/>
              <a:ea typeface="+mn-ea"/>
              <a:cs typeface="+mn-cs"/>
            </a:rPr>
            <a:t>No Risk</a:t>
          </a:r>
          <a:r>
            <a:rPr lang="en-US" sz="1000">
              <a:solidFill>
                <a:schemeClr val="dk1"/>
              </a:solidFill>
              <a:latin typeface="+mn-lt"/>
              <a:ea typeface="+mn-ea"/>
              <a:cs typeface="+mn-cs"/>
            </a:rPr>
            <a:t>.   </a:t>
          </a:r>
          <a:r>
            <a:rPr lang="en-US" sz="1000" i="1">
              <a:solidFill>
                <a:schemeClr val="dk1"/>
              </a:solidFill>
              <a:latin typeface="+mn-lt"/>
              <a:ea typeface="+mn-ea"/>
              <a:cs typeface="+mn-cs"/>
            </a:rPr>
            <a:t>MOE</a:t>
          </a:r>
          <a:r>
            <a:rPr lang="en-US" sz="1000" i="1" baseline="-25000">
              <a:solidFill>
                <a:schemeClr val="dk1"/>
              </a:solidFill>
              <a:latin typeface="+mn-lt"/>
              <a:ea typeface="+mn-ea"/>
              <a:cs typeface="+mn-cs"/>
            </a:rPr>
            <a:t>acute or chronic</a:t>
          </a:r>
          <a:r>
            <a:rPr lang="en-US" sz="1000" i="1" baseline="0">
              <a:solidFill>
                <a:schemeClr val="dk1"/>
              </a:solidFill>
              <a:latin typeface="+mn-lt"/>
              <a:ea typeface="+mn-ea"/>
              <a:cs typeface="+mn-cs"/>
            </a:rPr>
            <a:t> ≥ MOE</a:t>
          </a:r>
          <a:r>
            <a:rPr lang="en-US" sz="1000" i="1" baseline="-25000">
              <a:solidFill>
                <a:schemeClr val="dk1"/>
              </a:solidFill>
              <a:latin typeface="+mn-lt"/>
              <a:ea typeface="+mn-ea"/>
              <a:cs typeface="+mn-cs"/>
            </a:rPr>
            <a:t>benchmark</a:t>
          </a:r>
          <a:endParaRPr lang="en-US" sz="1000" i="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000" i="0" baseline="0">
              <a:solidFill>
                <a:schemeClr val="dk1"/>
              </a:solidFill>
              <a:latin typeface="+mn-lt"/>
              <a:ea typeface="+mn-ea"/>
              <a:cs typeface="+mn-cs"/>
            </a:rPr>
            <a:t>                                  </a:t>
          </a:r>
          <a:r>
            <a:rPr lang="en-US" sz="1000" i="1" baseline="0">
              <a:solidFill>
                <a:schemeClr val="dk1"/>
              </a:solidFill>
              <a:latin typeface="+mn-lt"/>
              <a:ea typeface="+mn-ea"/>
              <a:cs typeface="+mn-cs"/>
            </a:rPr>
            <a:t>Risk ≤ Benchmark Risk Level</a:t>
          </a:r>
          <a:endParaRPr lang="en-US" sz="1000" i="1">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104775</xdr:colOff>
      <xdr:row>7</xdr:row>
      <xdr:rowOff>171449</xdr:rowOff>
    </xdr:from>
    <xdr:to>
      <xdr:col>4</xdr:col>
      <xdr:colOff>676275</xdr:colOff>
      <xdr:row>12</xdr:row>
      <xdr:rowOff>38100</xdr:rowOff>
    </xdr:to>
    <xdr:sp macro="" textlink="">
      <xdr:nvSpPr>
        <xdr:cNvPr id="3" name="TextBox 2">
          <a:extLst>
            <a:ext uri="{FF2B5EF4-FFF2-40B4-BE49-F238E27FC236}">
              <a16:creationId xmlns:a16="http://schemas.microsoft.com/office/drawing/2014/main" id="{00C24D45-490A-452B-9CC3-B52F76EE2535}"/>
            </a:ext>
          </a:extLst>
        </xdr:cNvPr>
        <xdr:cNvSpPr txBox="1"/>
      </xdr:nvSpPr>
      <xdr:spPr>
        <a:xfrm>
          <a:off x="257175" y="2285999"/>
          <a:ext cx="3695700" cy="104775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000" b="1"/>
            <a:t>Key</a:t>
          </a:r>
          <a:endParaRPr lang="en-US" sz="1000"/>
        </a:p>
        <a:p>
          <a:r>
            <a:rPr lang="en-US" sz="1000"/>
            <a:t>             =  </a:t>
          </a:r>
          <a:r>
            <a:rPr lang="en-US" sz="1000">
              <a:solidFill>
                <a:srgbClr val="FF0000"/>
              </a:solidFill>
            </a:rPr>
            <a:t>Risk</a:t>
          </a:r>
          <a:r>
            <a:rPr lang="en-US" sz="1000"/>
            <a:t>.  </a:t>
          </a:r>
          <a:r>
            <a:rPr lang="en-US" sz="1000" baseline="0"/>
            <a:t>       </a:t>
          </a:r>
          <a:r>
            <a:rPr lang="en-US" sz="1000" i="1"/>
            <a:t>MOE</a:t>
          </a:r>
          <a:r>
            <a:rPr lang="en-US" sz="1000" i="1" baseline="-25000"/>
            <a:t>acute or chronic</a:t>
          </a:r>
          <a:r>
            <a:rPr lang="en-US" sz="1000" i="1" baseline="0"/>
            <a:t> &lt; MOE</a:t>
          </a:r>
          <a:r>
            <a:rPr lang="en-US" sz="1000" i="1" baseline="-25000"/>
            <a:t>benchmark</a:t>
          </a:r>
          <a:endParaRPr lang="en-US" sz="1000" i="0" baseline="0"/>
        </a:p>
        <a:p>
          <a:r>
            <a:rPr lang="en-US" sz="1000" i="0" baseline="0"/>
            <a:t>                                  </a:t>
          </a:r>
          <a:r>
            <a:rPr lang="en-US" sz="1000" i="1" baseline="0"/>
            <a:t>Risk &gt; Benchmark Risk Level</a:t>
          </a:r>
        </a:p>
        <a:p>
          <a:endParaRPr lang="en-US" sz="1000" i="1" baseline="0"/>
        </a:p>
        <a:p>
          <a:pPr marL="0" marR="0" indent="0" defTabSz="914400" eaLnBrk="1" fontAlgn="auto" latinLnBrk="0" hangingPunct="1">
            <a:lnSpc>
              <a:spcPct val="100000"/>
            </a:lnSpc>
            <a:spcBef>
              <a:spcPts val="0"/>
            </a:spcBef>
            <a:spcAft>
              <a:spcPts val="0"/>
            </a:spcAft>
            <a:buClrTx/>
            <a:buSzTx/>
            <a:buFontTx/>
            <a:buNone/>
            <a:tabLst/>
            <a:defRPr/>
          </a:pPr>
          <a:r>
            <a:rPr lang="en-US" sz="1000">
              <a:solidFill>
                <a:schemeClr val="dk1"/>
              </a:solidFill>
              <a:latin typeface="+mn-lt"/>
              <a:ea typeface="+mn-ea"/>
              <a:cs typeface="+mn-cs"/>
            </a:rPr>
            <a:t>             =  </a:t>
          </a:r>
          <a:r>
            <a:rPr lang="en-US" sz="1000">
              <a:solidFill>
                <a:srgbClr val="339933"/>
              </a:solidFill>
              <a:latin typeface="+mn-lt"/>
              <a:ea typeface="+mn-ea"/>
              <a:cs typeface="+mn-cs"/>
            </a:rPr>
            <a:t>No Risk</a:t>
          </a:r>
          <a:r>
            <a:rPr lang="en-US" sz="1000">
              <a:solidFill>
                <a:schemeClr val="dk1"/>
              </a:solidFill>
              <a:latin typeface="+mn-lt"/>
              <a:ea typeface="+mn-ea"/>
              <a:cs typeface="+mn-cs"/>
            </a:rPr>
            <a:t>.   </a:t>
          </a:r>
          <a:r>
            <a:rPr lang="en-US" sz="1000" i="1">
              <a:solidFill>
                <a:schemeClr val="dk1"/>
              </a:solidFill>
              <a:latin typeface="+mn-lt"/>
              <a:ea typeface="+mn-ea"/>
              <a:cs typeface="+mn-cs"/>
            </a:rPr>
            <a:t>MOE</a:t>
          </a:r>
          <a:r>
            <a:rPr lang="en-US" sz="1000" i="1" baseline="-25000">
              <a:solidFill>
                <a:schemeClr val="dk1"/>
              </a:solidFill>
              <a:latin typeface="+mn-lt"/>
              <a:ea typeface="+mn-ea"/>
              <a:cs typeface="+mn-cs"/>
            </a:rPr>
            <a:t>acute or chronic</a:t>
          </a:r>
          <a:r>
            <a:rPr lang="en-US" sz="1000" i="1" baseline="0">
              <a:solidFill>
                <a:schemeClr val="dk1"/>
              </a:solidFill>
              <a:latin typeface="+mn-lt"/>
              <a:ea typeface="+mn-ea"/>
              <a:cs typeface="+mn-cs"/>
            </a:rPr>
            <a:t> ≥ MOE</a:t>
          </a:r>
          <a:r>
            <a:rPr lang="en-US" sz="1000" i="1" baseline="-25000">
              <a:solidFill>
                <a:schemeClr val="dk1"/>
              </a:solidFill>
              <a:latin typeface="+mn-lt"/>
              <a:ea typeface="+mn-ea"/>
              <a:cs typeface="+mn-cs"/>
            </a:rPr>
            <a:t>benchmark</a:t>
          </a:r>
          <a:endParaRPr lang="en-US" sz="1000" i="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000" i="0" baseline="0">
              <a:solidFill>
                <a:schemeClr val="dk1"/>
              </a:solidFill>
              <a:latin typeface="+mn-lt"/>
              <a:ea typeface="+mn-ea"/>
              <a:cs typeface="+mn-cs"/>
            </a:rPr>
            <a:t>                                  </a:t>
          </a:r>
          <a:r>
            <a:rPr lang="en-US" sz="1000" i="1" baseline="0">
              <a:solidFill>
                <a:schemeClr val="dk1"/>
              </a:solidFill>
              <a:latin typeface="+mn-lt"/>
              <a:ea typeface="+mn-ea"/>
              <a:cs typeface="+mn-cs"/>
            </a:rPr>
            <a:t>Risk ≤ Benchmark Risk Level</a:t>
          </a:r>
          <a:endParaRPr lang="en-US" sz="1000" i="1">
            <a:solidFill>
              <a:schemeClr val="dk1"/>
            </a:solidFill>
            <a:latin typeface="+mn-lt"/>
            <a:ea typeface="+mn-ea"/>
            <a:cs typeface="+mn-cs"/>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8401935-84AF-4270-8FB1-5E2E43DBF2D4}" name="Inhalation_Exp" displayName="Inhalation_Exp" ref="A4:U59" totalsRowCount="1" headerRowDxfId="478" dataDxfId="477">
  <autoFilter ref="A4:U58" xr:uid="{D8401935-84AF-4270-8FB1-5E2E43DBF2D4}"/>
  <tableColumns count="21">
    <tableColumn id="1" xr3:uid="{8B9E498B-E535-487D-BD43-3A1DC38F8269}" name="Column1" dataDxfId="476" totalsRowDxfId="475"/>
    <tableColumn id="2" xr3:uid="{031D3ED0-7732-4916-93A6-570184F31658}" name="OES Group" dataDxfId="474" totalsRowDxfId="473"/>
    <tableColumn id="3" xr3:uid="{C54AC08B-2171-4932-9675-344FCE6A4CAE}" name="OES" dataDxfId="472" totalsRowDxfId="471"/>
    <tableColumn id="4" xr3:uid="{F737B7D7-234B-4298-9FE4-C56434A78344}" name="Worker Type" dataDxfId="470" totalsRowDxfId="469"/>
    <tableColumn id="5" xr3:uid="{89394E55-C669-41DA-8B58-BEB3216B6932}" name="Vapor Exposure Scenario" dataDxfId="468" totalsRowDxfId="467"/>
    <tableColumn id="6" xr3:uid="{CDFD586A-A503-40F6-B1F2-119C056FF477}" name="ED_High-End" dataDxfId="466" totalsRowDxfId="465"/>
    <tableColumn id="7" xr3:uid="{1E4E25BD-BB7A-4F49-9926-3FF8EB0F649B}" name="ED_Central Tendency" dataDxfId="464" totalsRowDxfId="463"/>
    <tableColumn id="8" xr3:uid="{1F235D25-0699-476A-999A-BAE54EB68501}" name="TWA_High-End" dataDxfId="462" totalsRowDxfId="461"/>
    <tableColumn id="9" xr3:uid="{7CE221CF-6ABC-4C39-BB1F-EE22EB921A7E}" name="TWA_Central Tendency" dataDxfId="460" totalsRowDxfId="459"/>
    <tableColumn id="10" xr3:uid="{2D1C3CBB-2959-4240-BE7F-3DA4DB464EB8}" name="Dust_High-End" dataDxfId="458" totalsRowDxfId="457"/>
    <tableColumn id="11" xr3:uid="{CF089516-A289-41C8-9217-FC8260BBAEC8}" name="Dust_Central Tendency" dataDxfId="456" totalsRowDxfId="455"/>
    <tableColumn id="14" xr3:uid="{D8D13849-0619-4A64-8E83-8771B61FFED2}" name="24hr_High-End" dataDxfId="454" totalsRowDxfId="453">
      <calculatedColumnFormula>((H5*ED_8+(J5*ED_8))*WorkBreathRate)/IF(Inhalation_Exp[[#This Row],[Worker Type]]="Female of Reproductive Age",BW_F,BW_default)</calculatedColumnFormula>
    </tableColumn>
    <tableColumn id="15" xr3:uid="{59BA6381-8B7F-4F1F-A431-183C58C00B76}" name="24hr_Central Tendency" dataDxfId="452" totalsRowDxfId="451">
      <calculatedColumnFormula>((I5*ED_8+(K5*ED_8))*WorkBreathRate)/IF(Inhalation_Exp[[#This Row],[Worker Type]]="Female of Reproductive Age",BW_F,BW_default)</calculatedColumnFormula>
    </tableColumn>
    <tableColumn id="18" xr3:uid="{34A66C89-4510-4FFE-8377-0BAD909E0C24}" name="Int_High-End" dataDxfId="450" totalsRowDxfId="449">
      <calculatedColumnFormula>IF(EFID&gt;Inhalation_Exp[[#This Row],[ED_High-End]],Inhalation_Exp[[#This Row],[24hr_High-End]]*Inhalation_Exp[[#This Row],[ED_High-End]]/ID,Inhalation_Exp[[#This Row],[24hr_High-End]]*EFID/ID)</calculatedColumnFormula>
    </tableColumn>
    <tableColumn id="19" xr3:uid="{72F83336-E929-4C33-964A-3EB6EB40A105}" name="Int_Central Tendency" dataDxfId="448" totalsRowDxfId="447">
      <calculatedColumnFormula>IF(EFID&gt;Inhalation_Exp[[#This Row],[ED_Central Tendency]],Inhalation_Exp[[#This Row],[24hr_Central Tendency]]*Inhalation_Exp[[#This Row],[ED_Central Tendency]]/ID,Inhalation_Exp[[#This Row],[24hr_Central Tendency]]*EFID/ID)</calculatedColumnFormula>
    </tableColumn>
    <tableColumn id="24" xr3:uid="{2EF85EA6-053F-499C-9BF0-0F5656E94B6D}" name="ADD_High-End" dataDxfId="446" totalsRowDxfId="445">
      <calculatedColumnFormula>L5*F5*WY_high/(WY_high*365)</calculatedColumnFormula>
    </tableColumn>
    <tableColumn id="25" xr3:uid="{36CF039B-AE1A-42DA-856B-8E000BED49A0}" name="ADD_Central Tendency" dataDxfId="444" totalsRowDxfId="443">
      <calculatedColumnFormula>M5*G5*WY_mid/(WY_mid*365)</calculatedColumnFormula>
    </tableColumn>
    <tableColumn id="20" xr3:uid="{D66C692A-95A3-46A6-B519-23B552732334}" name="Eight-Hour TWA Data Points" dataDxfId="442" totalsRowDxfId="441"/>
    <tableColumn id="21" xr3:uid="{95F01858-982C-4E6C-B071-590CFEA5B034}" name="Total Data Points" dataDxfId="440" totalsRowDxfId="439"/>
    <tableColumn id="22" xr3:uid="{3D024B1C-C570-43E2-A1C7-77868DE73688}" name="Sources &amp; Notes" dataDxfId="438" totalsRowDxfId="437"/>
    <tableColumn id="23" xr3:uid="{14E1BB3A-BA6D-4CB5-8802-3B7332A0EEA5}" name="Data Type" dataDxfId="436" totalsRowDxfId="43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DE0F39C-8328-4698-9F18-12CEF82BB456}" name="Dermal_Exp" displayName="Dermal_Exp" ref="A3:O55" totalsRowShown="0" headerRowDxfId="434" dataDxfId="433" tableBorderDxfId="432">
  <autoFilter ref="A3:O55" xr:uid="{4DE0F39C-8328-4698-9F18-12CEF82BB456}"/>
  <tableColumns count="15">
    <tableColumn id="5" xr3:uid="{0201E299-ACE7-41CE-89FF-44176D0FE674}" name="sort" dataDxfId="431"/>
    <tableColumn id="2" xr3:uid="{01B060B3-40B7-4FDE-AA23-E13A2121A0C7}" name="OES" dataDxfId="430"/>
    <tableColumn id="11" xr3:uid="{2F31C538-873A-4287-9C89-B20290605EE9}" name="Worker Type" dataDxfId="429"/>
    <tableColumn id="10" xr3:uid="{116A4532-98BD-4EDF-B594-BE709576A9B6}" name="ED_High-End" dataDxfId="428"/>
    <tableColumn id="9" xr3:uid="{4B7F3F7C-93BF-4171-87B1-BBB8D1899EA6}" name="ED_Central Tendency" dataDxfId="427"/>
    <tableColumn id="12" xr3:uid="{C7648BE0-0833-4475-87EF-BC432104B35D}" name="High-End Exposure to Liquid" dataDxfId="426"/>
    <tableColumn id="13" xr3:uid="{A5995FE9-0A48-495E-BD77-893C549EACE2}" name=" Central Tendency Exposure to Liquids" dataDxfId="425"/>
    <tableColumn id="3" xr3:uid="{7C011295-03C7-4BDF-89A2-E6A13D93574B}" name="High-End Exposure to Solids" dataDxfId="424"/>
    <tableColumn id="4" xr3:uid="{E09F1D04-39E4-4DBB-B848-59F151856E71}" name="Central Tendency  Exposure to Solids" dataDxfId="423"/>
    <tableColumn id="6" xr3:uid="{45D16D1A-3B38-4BFA-A319-40AD303429C3}" name="High-End AD (mg/kg-day)" dataDxfId="422">
      <calculatedColumnFormula>IF(Dermal_Exp[[#This Row],[Worker Type]]&lt;&gt;"",(Dermal_Exp[[#This Row],[High-End Exposure to Liquid]]+Dermal_Exp[[#This Row],[High-End Exposure to Solids]]),"Not Assessed")</calculatedColumnFormula>
    </tableColumn>
    <tableColumn id="14" xr3:uid="{1B601C22-CB24-41BB-BD6C-305E4E626652}" name="Central Tendency AD (mg/kg-day)" dataDxfId="421">
      <calculatedColumnFormula>IF(Dermal_Exp[[#This Row],[Worker Type]]&lt;&gt;"",(Dermal_Exp[[#This Row],[ Central Tendency Exposure to Liquids]]+Dermal_Exp[[#This Row],[Central Tendency  Exposure to Solids]]),"Not Assessed")</calculatedColumnFormula>
    </tableColumn>
    <tableColumn id="1" xr3:uid="{14C869CE-3DCC-42FD-B791-771CF8BE7F4A}" name="High-End IADD (mg/kg-day)" dataDxfId="420">
      <calculatedColumnFormula>IFERROR(Dermal_Exp[[#This Row],[High-End AD (mg/kg-day)]]*IF(Dermal_Exp[[#This Row],[ED_High-End]]&gt;EFID,EFID,Dermal_Exp[[#This Row],[ED_High-End]])/ID,"Not Assessed")</calculatedColumnFormula>
    </tableColumn>
    <tableColumn id="17" xr3:uid="{9EFC90CB-A461-4ADE-A8B4-75F6D64EE2CD}" name="Central Tendency IADD (mg/kg-day)" dataDxfId="419">
      <calculatedColumnFormula>IFERROR(Dermal_Exp[[#This Row],[Central Tendency AD (mg/kg-day)]]*IF(Dermal_Exp[[#This Row],[ED_Central Tendency]]&gt;EFID,EFID,Dermal_Exp[[#This Row],[ED_Central Tendency]])/ID,"Not Assessed")</calculatedColumnFormula>
    </tableColumn>
    <tableColumn id="7" xr3:uid="{A473226B-926A-43B0-8063-C950222670D0}" name="High-End ADD (mg/kg-day)" dataDxfId="418">
      <calculatedColumnFormula>IFERROR(Dermal_Exp[[#This Row],[High-End AD (mg/kg-day)]]*Dermal_Exp[[#This Row],[ED_High-End]]*WY_high/(365*WY_high),"Not Assessed")</calculatedColumnFormula>
    </tableColumn>
    <tableColumn id="18" xr3:uid="{04D45394-DB7F-4B02-BB50-A4A68373A612}" name="Central Tendency ADD (mg/kg-day)" dataDxfId="417">
      <calculatedColumnFormula>IFERROR(Dermal_Exp[[#This Row],[Central Tendency AD (mg/kg-day)]]*Dermal_Exp[[#This Row],[ED_Central Tendency]]*WY_mid/(365*WY_mid),"Not Assessed")</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33DC64D-8EB3-4501-870A-D2291E5D1931}" name="Tox_Table" displayName="Tox_Table" ref="B11:L16" totalsRowShown="0" headerRowDxfId="416" dataDxfId="414" headerRowBorderDxfId="415" tableBorderDxfId="413">
  <autoFilter ref="B11:L16" xr:uid="{E33DC64D-8EB3-4501-870A-D2291E5D1931}"/>
  <tableColumns count="11">
    <tableColumn id="1" xr3:uid="{EE67F4A7-6CA6-4037-85CB-90F21462F8D8}" name="Exposure Type" dataDxfId="412"/>
    <tableColumn id="3" xr3:uid="{8043AA1D-35D8-4428-A2DB-4CD78DBBEADD}" name="Health Effect" dataDxfId="411"/>
    <tableColumn id="4" xr3:uid="{3E18B802-0F43-4860-ACE8-BECBFB6A254B}" name="Endpoint" dataDxfId="410"/>
    <tableColumn id="5" xr3:uid="{3832D19D-7F09-45DE-8FF8-E748D2DF228E}" name="Study" dataDxfId="409"/>
    <tableColumn id="6" xr3:uid="{86FA5EF5-8257-4B7D-B67F-81533F26169D}" name="Code" dataDxfId="408"/>
    <tableColumn id="7" xr3:uid="{167C2AF7-F3D6-4569-BA48-0421171478DF}" name="HEC (mg/m3)" dataDxfId="407"/>
    <tableColumn id="8" xr3:uid="{CBBF44F9-78BA-4F5D-B479-0AE98FEBF3BF}" name="HEC (ppm)" dataDxfId="406"/>
    <tableColumn id="9" xr3:uid="{BEF18460-7978-4A17-89D2-4AE396E867BC}" name="HED / POD (mg/kg/day)" dataDxfId="405"/>
    <tableColumn id="10" xr3:uid="{9E0456CF-018C-45C3-867D-D19DEF864DBE}" name="Benchmark MOE" dataDxfId="404"/>
    <tableColumn id="11" xr3:uid="{8A108CB0-4931-41ED-BAFA-789F9D4AC56A}" name="IUR (ppm-1)" dataDxfId="403"/>
    <tableColumn id="12" xr3:uid="{6108CA2F-F7B0-4D12-AEB6-AE3B95A6A2DD}" name="CSF (mg/kg-day-1)" dataDxfId="40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7559093-7373-429C-8127-29E318B09181}" name="AEGL_Table" displayName="AEGL_Table" ref="B5:K7" totalsRowShown="0" headerRowDxfId="401" dataDxfId="400" tableBorderDxfId="399">
  <autoFilter ref="B5:K7" xr:uid="{77559093-7373-429C-8127-29E318B09181}"/>
  <tableColumns count="10">
    <tableColumn id="1" xr3:uid="{E09A7697-B506-4F05-8E1E-79D8EA865ACB}" name="Column1" dataDxfId="398"/>
    <tableColumn id="3" xr3:uid="{C788C624-DA81-49B0-8B69-054D97CFFA8C}" name="Toxicity Endpoint" dataDxfId="397"/>
    <tableColumn id="4" xr3:uid="{F86D2B03-EBA9-4512-9A55-456C97028BF6}" name="Study" dataDxfId="396"/>
    <tableColumn id="5" xr3:uid="{A7D48F76-C8C6-471E-B609-F3652DCF0AFD}" name="Code" dataDxfId="395"/>
    <tableColumn id="6" xr3:uid="{2CD20B61-A298-438F-A315-51319315A567}" name="AEGL-1 HEC (mg/m3)" dataDxfId="394"/>
    <tableColumn id="7" xr3:uid="{A3BEF587-F8BD-49BC-9BAF-C3CEC1AC28A7}" name="AEGL-1 HEC (ppm)" dataDxfId="393"/>
    <tableColumn id="8" xr3:uid="{647F1209-AF4A-4FB1-90F2-7FFB5644970E}" name="AEGL-2 HEC (mg/m3)" dataDxfId="392"/>
    <tableColumn id="9" xr3:uid="{ED1AEC0B-DEA7-433A-BF7A-BC77E3385ED2}" name="AEGL-2 HEC (ppm)" dataDxfId="391"/>
    <tableColumn id="10" xr3:uid="{0C4B6FE2-A202-4184-A282-CFEFF98F5C3C}" name="AEGL-3 HEC (mg/m3)" dataDxfId="390"/>
    <tableColumn id="11" xr3:uid="{3AA98D77-89DB-4638-B474-ADB02DA19559}" name="AEGL-3 HEC (ppm)" dataDxfId="389"/>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F0537-E5C4-4707-A268-AEAA2A512243}">
  <sheetPr codeName="Sheet6">
    <tabColor rgb="FF92D050"/>
  </sheetPr>
  <dimension ref="B3:H11"/>
  <sheetViews>
    <sheetView tabSelected="1" workbookViewId="0">
      <selection activeCell="A32" sqref="A32"/>
    </sheetView>
  </sheetViews>
  <sheetFormatPr defaultColWidth="9.140625" defaultRowHeight="15" x14ac:dyDescent="0.25"/>
  <cols>
    <col min="1" max="1" width="13.42578125" style="334" customWidth="1"/>
    <col min="2" max="2" width="11.5703125" style="334" customWidth="1"/>
    <col min="3" max="3" width="10.85546875" style="334" customWidth="1"/>
    <col min="4" max="4" width="11.42578125" style="334" customWidth="1"/>
    <col min="5" max="5" width="11.85546875" style="334" customWidth="1"/>
    <col min="6" max="16384" width="9.140625" style="334"/>
  </cols>
  <sheetData>
    <row r="3" spans="2:8" ht="15" customHeight="1" x14ac:dyDescent="0.25">
      <c r="B3" s="390" t="s">
        <v>381</v>
      </c>
      <c r="C3" s="390"/>
      <c r="D3" s="390"/>
      <c r="E3" s="390"/>
      <c r="F3" s="390"/>
      <c r="H3" s="374"/>
    </row>
    <row r="4" spans="2:8" ht="46.5" customHeight="1" x14ac:dyDescent="0.25">
      <c r="B4" s="390"/>
      <c r="C4" s="390"/>
      <c r="D4" s="390"/>
      <c r="E4" s="390"/>
      <c r="F4" s="390"/>
    </row>
    <row r="6" spans="2:8" ht="175.5" customHeight="1" x14ac:dyDescent="0.25"/>
    <row r="7" spans="2:8" ht="20.25" x14ac:dyDescent="0.25">
      <c r="B7" s="390"/>
      <c r="C7" s="390"/>
      <c r="D7" s="390"/>
      <c r="E7" s="390"/>
      <c r="F7" s="390"/>
    </row>
    <row r="9" spans="2:8" ht="20.25" customHeight="1" x14ac:dyDescent="0.25">
      <c r="B9" s="390" t="s">
        <v>369</v>
      </c>
      <c r="C9" s="390"/>
      <c r="D9" s="390"/>
      <c r="E9" s="390"/>
      <c r="F9" s="390"/>
    </row>
    <row r="11" spans="2:8" ht="19.5" x14ac:dyDescent="0.35">
      <c r="B11" s="391" t="s">
        <v>380</v>
      </c>
      <c r="C11" s="391"/>
      <c r="D11" s="391"/>
      <c r="E11" s="391"/>
      <c r="F11" s="391"/>
    </row>
  </sheetData>
  <sheetProtection sheet="1" objects="1" scenarios="1" formatCells="0" formatColumns="0" formatRows="0"/>
  <mergeCells count="4">
    <mergeCell ref="B3:F4"/>
    <mergeCell ref="B7:F7"/>
    <mergeCell ref="B9:F9"/>
    <mergeCell ref="B11:F11"/>
  </mergeCell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EE2DC-4EE0-4CF0-B381-0DF510B873A9}">
  <sheetPr codeName="Sheet9">
    <tabColor theme="1"/>
  </sheetPr>
  <dimension ref="A1:O62"/>
  <sheetViews>
    <sheetView workbookViewId="0">
      <selection activeCell="D17" sqref="D17"/>
    </sheetView>
  </sheetViews>
  <sheetFormatPr defaultColWidth="9.140625" defaultRowHeight="12.75" x14ac:dyDescent="0.2"/>
  <cols>
    <col min="1" max="1" width="9.140625" style="1"/>
    <col min="2" max="2" width="88.85546875" style="1" bestFit="1" customWidth="1"/>
    <col min="3" max="3" width="9.140625" style="1"/>
    <col min="4" max="4" width="38.85546875" style="1" customWidth="1"/>
    <col min="5" max="5" width="21" style="1" customWidth="1"/>
    <col min="6" max="6" width="37.140625" style="1" customWidth="1"/>
    <col min="7" max="7" width="25" style="1" customWidth="1"/>
    <col min="8" max="9" width="9.140625" style="1"/>
    <col min="10" max="10" width="48.140625" style="1" customWidth="1"/>
    <col min="11" max="11" width="9.140625" style="1" customWidth="1"/>
    <col min="12" max="12" width="46" style="1" hidden="1" customWidth="1"/>
    <col min="13" max="13" width="14.140625" style="1" hidden="1" customWidth="1"/>
    <col min="14" max="14" width="65.42578125" style="1" hidden="1" customWidth="1"/>
    <col min="15" max="15" width="9.140625" style="1" hidden="1" customWidth="1"/>
    <col min="16" max="16384" width="9.140625" style="1"/>
  </cols>
  <sheetData>
    <row r="1" spans="1:15" ht="13.5" thickBot="1" x14ac:dyDescent="0.25">
      <c r="A1" s="155"/>
      <c r="B1" s="156" t="s">
        <v>233</v>
      </c>
      <c r="C1" s="155"/>
      <c r="D1" s="157" t="s">
        <v>234</v>
      </c>
      <c r="E1" s="155"/>
      <c r="F1" s="157" t="s">
        <v>11</v>
      </c>
      <c r="G1" s="155"/>
      <c r="H1" s="155"/>
      <c r="I1" s="155"/>
      <c r="J1" s="155"/>
    </row>
    <row r="2" spans="1:15" ht="13.5" thickTop="1" x14ac:dyDescent="0.2">
      <c r="A2" s="158"/>
      <c r="B2" s="257" t="s">
        <v>149</v>
      </c>
      <c r="C2" s="155"/>
      <c r="D2" s="160" t="s">
        <v>235</v>
      </c>
      <c r="E2" s="155"/>
      <c r="F2" s="161" t="s">
        <v>95</v>
      </c>
      <c r="G2" s="155"/>
      <c r="H2" s="155"/>
      <c r="I2" s="155"/>
      <c r="J2" s="155"/>
      <c r="L2" s="128" t="s">
        <v>236</v>
      </c>
      <c r="M2" s="129" t="s">
        <v>235</v>
      </c>
      <c r="N2" s="130" t="str">
        <f>L2&amp;M2</f>
        <v>Manufacturing - 8-hr TWAMonitoring Data</v>
      </c>
      <c r="O2" s="131" t="s">
        <v>237</v>
      </c>
    </row>
    <row r="3" spans="1:15" ht="13.5" thickBot="1" x14ac:dyDescent="0.25">
      <c r="A3" s="158"/>
      <c r="B3" s="159" t="s">
        <v>155</v>
      </c>
      <c r="C3" s="155"/>
      <c r="D3" s="162" t="s">
        <v>153</v>
      </c>
      <c r="E3" s="155"/>
      <c r="F3" s="163" t="s">
        <v>69</v>
      </c>
      <c r="G3" s="155"/>
      <c r="H3" s="155"/>
      <c r="I3" s="155"/>
      <c r="J3" s="155"/>
      <c r="L3" s="128" t="s">
        <v>236</v>
      </c>
      <c r="M3" s="129" t="s">
        <v>235</v>
      </c>
      <c r="N3" s="130" t="str">
        <f t="shared" ref="N3:N62" si="0">L3&amp;M3</f>
        <v>Manufacturing - 8-hr TWAMonitoring Data</v>
      </c>
      <c r="O3" s="131" t="s">
        <v>237</v>
      </c>
    </row>
    <row r="4" spans="1:15" ht="13.5" thickBot="1" x14ac:dyDescent="0.25">
      <c r="A4" s="158"/>
      <c r="B4" s="159" t="s">
        <v>156</v>
      </c>
      <c r="C4" s="155"/>
      <c r="D4" s="155"/>
      <c r="E4" s="155"/>
      <c r="F4" s="132"/>
      <c r="G4" s="155"/>
      <c r="H4" s="155"/>
      <c r="I4" s="155"/>
      <c r="J4" s="155"/>
      <c r="L4" s="128" t="s">
        <v>238</v>
      </c>
      <c r="M4" s="129" t="s">
        <v>235</v>
      </c>
      <c r="N4" s="130" t="str">
        <f t="shared" si="0"/>
        <v>Manufacturing - 12-hr TWAMonitoring Data</v>
      </c>
      <c r="O4" s="131" t="s">
        <v>239</v>
      </c>
    </row>
    <row r="5" spans="1:15" ht="13.5" thickBot="1" x14ac:dyDescent="0.25">
      <c r="A5" s="158"/>
      <c r="B5" s="159" t="s">
        <v>157</v>
      </c>
      <c r="C5" s="155"/>
      <c r="D5" s="157" t="s">
        <v>118</v>
      </c>
      <c r="E5" s="155"/>
      <c r="F5" s="157"/>
      <c r="G5" s="164" t="s">
        <v>240</v>
      </c>
      <c r="H5" s="164" t="s">
        <v>241</v>
      </c>
      <c r="I5" s="133"/>
      <c r="J5" s="134"/>
      <c r="L5" s="128" t="s">
        <v>238</v>
      </c>
      <c r="M5" s="129" t="s">
        <v>235</v>
      </c>
      <c r="N5" s="130" t="str">
        <f t="shared" si="0"/>
        <v>Manufacturing - 12-hr TWAMonitoring Data</v>
      </c>
      <c r="O5" s="131" t="s">
        <v>239</v>
      </c>
    </row>
    <row r="6" spans="1:15" ht="13.5" thickTop="1" x14ac:dyDescent="0.2">
      <c r="A6" s="158"/>
      <c r="B6" s="159" t="s">
        <v>158</v>
      </c>
      <c r="C6" s="155"/>
      <c r="D6" s="165" t="s">
        <v>52</v>
      </c>
      <c r="E6" s="382"/>
      <c r="F6" s="135" t="s">
        <v>242</v>
      </c>
      <c r="G6" s="136">
        <v>330.43</v>
      </c>
      <c r="H6" s="137" t="s">
        <v>232</v>
      </c>
      <c r="I6" s="133"/>
      <c r="J6" s="155"/>
      <c r="L6" s="128" t="s">
        <v>243</v>
      </c>
      <c r="M6" s="129" t="s">
        <v>235</v>
      </c>
      <c r="N6" s="130" t="str">
        <f t="shared" si="0"/>
        <v>RepackagingMonitoring Data</v>
      </c>
      <c r="O6" s="131">
        <v>11</v>
      </c>
    </row>
    <row r="7" spans="1:15" ht="13.5" thickBot="1" x14ac:dyDescent="0.25">
      <c r="A7" s="158"/>
      <c r="B7" s="159" t="s">
        <v>159</v>
      </c>
      <c r="C7" s="155"/>
      <c r="D7" s="232" t="s">
        <v>96</v>
      </c>
      <c r="E7" s="155"/>
      <c r="F7" s="138" t="s">
        <v>244</v>
      </c>
      <c r="G7" s="254">
        <v>0.42901063764373121</v>
      </c>
      <c r="H7" s="140" t="s">
        <v>245</v>
      </c>
      <c r="I7" s="133"/>
      <c r="J7" s="155"/>
      <c r="L7" s="128" t="s">
        <v>246</v>
      </c>
      <c r="M7" s="129" t="s">
        <v>235</v>
      </c>
      <c r="N7" s="130" t="str">
        <f t="shared" si="0"/>
        <v>Processing as Reactant/Intermediate - 8-hr TWAMonitoring Data</v>
      </c>
      <c r="O7" s="131" t="s">
        <v>247</v>
      </c>
    </row>
    <row r="8" spans="1:15" ht="13.5" thickBot="1" x14ac:dyDescent="0.25">
      <c r="A8" s="158"/>
      <c r="B8" s="159" t="s">
        <v>160</v>
      </c>
      <c r="C8" s="155"/>
      <c r="D8" s="166" t="s">
        <v>69</v>
      </c>
      <c r="E8" s="155"/>
      <c r="F8" s="133"/>
      <c r="G8" s="133"/>
      <c r="H8" s="133"/>
      <c r="I8" s="133"/>
      <c r="J8" s="132"/>
      <c r="L8" s="128" t="s">
        <v>246</v>
      </c>
      <c r="M8" s="129" t="s">
        <v>235</v>
      </c>
      <c r="N8" s="130" t="str">
        <f t="shared" si="0"/>
        <v>Processing as Reactant/Intermediate - 8-hr TWAMonitoring Data</v>
      </c>
      <c r="O8" s="131" t="s">
        <v>247</v>
      </c>
    </row>
    <row r="9" spans="1:15" ht="13.5" thickBot="1" x14ac:dyDescent="0.25">
      <c r="A9" s="158"/>
      <c r="B9" s="159" t="s">
        <v>161</v>
      </c>
      <c r="C9" s="155"/>
      <c r="D9" s="155"/>
      <c r="E9" s="155"/>
      <c r="F9" s="157" t="s">
        <v>248</v>
      </c>
      <c r="G9" s="164" t="s">
        <v>249</v>
      </c>
      <c r="H9" s="164" t="s">
        <v>240</v>
      </c>
      <c r="I9" s="164" t="s">
        <v>241</v>
      </c>
      <c r="J9" s="155"/>
      <c r="L9" s="128" t="s">
        <v>250</v>
      </c>
      <c r="M9" s="129" t="s">
        <v>235</v>
      </c>
      <c r="N9" s="130" t="str">
        <f t="shared" si="0"/>
        <v>Processing as Reactant/Intermediate - 12-hr TWAMonitoring Data</v>
      </c>
      <c r="O9" s="131" t="s">
        <v>251</v>
      </c>
    </row>
    <row r="10" spans="1:15" ht="14.25" thickTop="1" thickBot="1" x14ac:dyDescent="0.25">
      <c r="A10" s="158"/>
      <c r="B10" s="159" t="s">
        <v>162</v>
      </c>
      <c r="C10" s="155"/>
      <c r="D10" s="157" t="s">
        <v>252</v>
      </c>
      <c r="E10" s="155"/>
      <c r="F10" s="141" t="s">
        <v>253</v>
      </c>
      <c r="G10" s="142" t="s">
        <v>254</v>
      </c>
      <c r="H10" s="142">
        <v>8</v>
      </c>
      <c r="I10" s="143" t="s">
        <v>255</v>
      </c>
      <c r="J10" s="155"/>
      <c r="L10" s="128" t="s">
        <v>250</v>
      </c>
      <c r="M10" s="129" t="s">
        <v>235</v>
      </c>
      <c r="N10" s="130" t="str">
        <f t="shared" si="0"/>
        <v>Processing as Reactant/Intermediate - 12-hr TWAMonitoring Data</v>
      </c>
      <c r="O10" s="131" t="s">
        <v>251</v>
      </c>
    </row>
    <row r="11" spans="1:15" ht="13.5" thickTop="1" x14ac:dyDescent="0.2">
      <c r="A11" s="158"/>
      <c r="B11" s="159" t="s">
        <v>256</v>
      </c>
      <c r="C11" s="155"/>
      <c r="D11" s="167">
        <v>0.5</v>
      </c>
      <c r="E11" s="155"/>
      <c r="F11" s="144" t="s">
        <v>257</v>
      </c>
      <c r="G11" s="145" t="s">
        <v>258</v>
      </c>
      <c r="H11" s="145">
        <v>10</v>
      </c>
      <c r="I11" s="146" t="s">
        <v>255</v>
      </c>
      <c r="J11" s="155"/>
      <c r="L11" s="128" t="s">
        <v>259</v>
      </c>
      <c r="M11" s="129" t="s">
        <v>235</v>
      </c>
      <c r="N11" s="130" t="str">
        <f t="shared" si="0"/>
        <v>Incorporation into Formulation - Aerosol PackingMonitoring Data</v>
      </c>
      <c r="O11" s="131" t="s">
        <v>260</v>
      </c>
    </row>
    <row r="12" spans="1:15" ht="13.5" thickBot="1" x14ac:dyDescent="0.25">
      <c r="A12" s="158"/>
      <c r="B12" s="159" t="s">
        <v>261</v>
      </c>
      <c r="C12" s="155"/>
      <c r="D12" s="168">
        <v>0.99</v>
      </c>
      <c r="E12" s="155"/>
      <c r="F12" s="144" t="s">
        <v>262</v>
      </c>
      <c r="G12" s="145" t="s">
        <v>263</v>
      </c>
      <c r="H12" s="145">
        <v>24</v>
      </c>
      <c r="I12" s="146" t="s">
        <v>255</v>
      </c>
      <c r="J12" s="155"/>
      <c r="L12" s="128" t="s">
        <v>264</v>
      </c>
      <c r="M12" s="129" t="s">
        <v>153</v>
      </c>
      <c r="N12" s="130" t="str">
        <f t="shared" si="0"/>
        <v>Incorporation into Formulation - Degreasing SolventModeled Data</v>
      </c>
      <c r="O12" s="131" t="s">
        <v>265</v>
      </c>
    </row>
    <row r="13" spans="1:15" ht="18" customHeight="1" thickBot="1" x14ac:dyDescent="0.25">
      <c r="A13" s="158"/>
      <c r="B13" s="159" t="s">
        <v>166</v>
      </c>
      <c r="C13" s="155"/>
      <c r="D13" s="155"/>
      <c r="E13" s="155"/>
      <c r="F13" s="144" t="s">
        <v>266</v>
      </c>
      <c r="G13" s="145" t="s">
        <v>267</v>
      </c>
      <c r="H13" s="145">
        <v>250</v>
      </c>
      <c r="I13" s="146" t="s">
        <v>268</v>
      </c>
      <c r="J13" s="155"/>
      <c r="L13" s="128" t="s">
        <v>269</v>
      </c>
      <c r="M13" s="129" t="s">
        <v>153</v>
      </c>
      <c r="N13" s="130" t="str">
        <f t="shared" si="0"/>
        <v>Incorporation into Formulation - Dry Cleaning SolventModeled Data</v>
      </c>
      <c r="O13" s="131" t="s">
        <v>270</v>
      </c>
    </row>
    <row r="14" spans="1:15" ht="13.5" thickBot="1" x14ac:dyDescent="0.25">
      <c r="A14" s="155"/>
      <c r="B14" s="159" t="s">
        <v>167</v>
      </c>
      <c r="C14" s="155"/>
      <c r="D14" s="157" t="s">
        <v>271</v>
      </c>
      <c r="E14" s="155"/>
      <c r="F14" s="144" t="s">
        <v>272</v>
      </c>
      <c r="G14" s="145" t="s">
        <v>273</v>
      </c>
      <c r="H14" s="145">
        <v>22</v>
      </c>
      <c r="I14" s="146" t="s">
        <v>268</v>
      </c>
      <c r="J14" s="155"/>
      <c r="L14" s="128" t="s">
        <v>274</v>
      </c>
      <c r="M14" s="129" t="s">
        <v>153</v>
      </c>
      <c r="N14" s="130" t="str">
        <f t="shared" si="0"/>
        <v>Incorporation into Formulation - MiscellaneousModeled Data</v>
      </c>
      <c r="O14" s="131" t="s">
        <v>275</v>
      </c>
    </row>
    <row r="15" spans="1:15" ht="13.5" thickTop="1" x14ac:dyDescent="0.2">
      <c r="A15" s="158"/>
      <c r="B15" s="159" t="s">
        <v>168</v>
      </c>
      <c r="C15" s="155"/>
      <c r="D15" s="160">
        <v>5</v>
      </c>
      <c r="E15" s="155"/>
      <c r="F15" s="144" t="s">
        <v>276</v>
      </c>
      <c r="G15" s="145" t="s">
        <v>277</v>
      </c>
      <c r="H15" s="145">
        <v>30</v>
      </c>
      <c r="I15" s="146" t="s">
        <v>268</v>
      </c>
      <c r="J15" s="155"/>
      <c r="L15" s="128" t="s">
        <v>278</v>
      </c>
      <c r="M15" s="129" t="s">
        <v>235</v>
      </c>
      <c r="N15" s="130" t="str">
        <f t="shared" si="0"/>
        <v>Open-top Vapor DegreasingMonitoring Data</v>
      </c>
      <c r="O15" s="131" t="s">
        <v>279</v>
      </c>
    </row>
    <row r="16" spans="1:15" x14ac:dyDescent="0.2">
      <c r="A16" s="158"/>
      <c r="B16" s="159" t="s">
        <v>169</v>
      </c>
      <c r="C16" s="155"/>
      <c r="D16" s="160">
        <v>10</v>
      </c>
      <c r="E16" s="155"/>
      <c r="F16" s="144" t="s">
        <v>280</v>
      </c>
      <c r="G16" s="145" t="s">
        <v>281</v>
      </c>
      <c r="H16" s="145">
        <v>31</v>
      </c>
      <c r="I16" s="146" t="s">
        <v>282</v>
      </c>
      <c r="J16" s="155"/>
      <c r="L16" s="128" t="s">
        <v>278</v>
      </c>
      <c r="M16" s="129" t="s">
        <v>235</v>
      </c>
      <c r="N16" s="130" t="str">
        <f t="shared" si="0"/>
        <v>Open-top Vapor DegreasingMonitoring Data</v>
      </c>
      <c r="O16" s="131" t="s">
        <v>279</v>
      </c>
    </row>
    <row r="17" spans="1:15" x14ac:dyDescent="0.2">
      <c r="A17" s="158"/>
      <c r="B17" s="159" t="s">
        <v>170</v>
      </c>
      <c r="C17" s="155"/>
      <c r="D17" s="160">
        <v>25</v>
      </c>
      <c r="E17" s="155"/>
      <c r="F17" s="144" t="s">
        <v>283</v>
      </c>
      <c r="G17" s="145" t="s">
        <v>284</v>
      </c>
      <c r="H17" s="145">
        <v>40</v>
      </c>
      <c r="I17" s="146" t="s">
        <v>282</v>
      </c>
      <c r="J17" s="155"/>
      <c r="L17" s="128" t="s">
        <v>285</v>
      </c>
      <c r="M17" s="129" t="s">
        <v>235</v>
      </c>
      <c r="N17" s="130" t="str">
        <f t="shared" si="0"/>
        <v>Closed Loop Vapor DegreasingMonitoring Data</v>
      </c>
      <c r="O17" s="131">
        <v>3</v>
      </c>
    </row>
    <row r="18" spans="1:15" x14ac:dyDescent="0.2">
      <c r="A18" s="158"/>
      <c r="B18" s="159" t="s">
        <v>171</v>
      </c>
      <c r="C18" s="155"/>
      <c r="D18" s="160">
        <v>50</v>
      </c>
      <c r="E18" s="155"/>
      <c r="F18" s="144" t="s">
        <v>375</v>
      </c>
      <c r="G18" s="145" t="s">
        <v>286</v>
      </c>
      <c r="H18" s="145">
        <v>78</v>
      </c>
      <c r="I18" s="146" t="s">
        <v>282</v>
      </c>
      <c r="J18" s="134"/>
      <c r="L18" s="128" t="s">
        <v>285</v>
      </c>
      <c r="M18" s="129" t="s">
        <v>235</v>
      </c>
      <c r="N18" s="130" t="str">
        <f t="shared" si="0"/>
        <v>Closed Loop Vapor DegreasingMonitoring Data</v>
      </c>
      <c r="O18" s="131">
        <v>3</v>
      </c>
    </row>
    <row r="19" spans="1:15" ht="13.5" thickBot="1" x14ac:dyDescent="0.25">
      <c r="A19" s="158"/>
      <c r="B19" s="169" t="s">
        <v>172</v>
      </c>
      <c r="C19" s="155"/>
      <c r="D19" s="160">
        <v>1000</v>
      </c>
      <c r="E19" s="155"/>
      <c r="F19" s="144" t="s">
        <v>287</v>
      </c>
      <c r="G19" s="145" t="s">
        <v>288</v>
      </c>
      <c r="H19" s="147">
        <f>WY_mid*365</f>
        <v>11315</v>
      </c>
      <c r="I19" s="146" t="s">
        <v>289</v>
      </c>
      <c r="J19" s="134"/>
      <c r="L19" s="128" t="s">
        <v>290</v>
      </c>
      <c r="M19" s="129" t="s">
        <v>153</v>
      </c>
      <c r="N19" s="130" t="str">
        <f t="shared" si="0"/>
        <v>Conveyorized Vapor DegreasingModeled Data</v>
      </c>
      <c r="O19" s="131">
        <v>4</v>
      </c>
    </row>
    <row r="20" spans="1:15" ht="13.5" thickBot="1" x14ac:dyDescent="0.25">
      <c r="A20" s="158"/>
      <c r="B20" s="155"/>
      <c r="C20" s="155"/>
      <c r="D20" s="162">
        <v>10000</v>
      </c>
      <c r="E20" s="155"/>
      <c r="F20" s="144" t="s">
        <v>291</v>
      </c>
      <c r="G20" s="145" t="s">
        <v>292</v>
      </c>
      <c r="H20" s="147">
        <f>WY_high*365</f>
        <v>14600</v>
      </c>
      <c r="I20" s="146" t="s">
        <v>289</v>
      </c>
      <c r="J20" s="155"/>
      <c r="L20" s="128" t="s">
        <v>290</v>
      </c>
      <c r="M20" s="129" t="s">
        <v>153</v>
      </c>
      <c r="N20" s="130" t="str">
        <f t="shared" si="0"/>
        <v>Conveyorized Vapor DegreasingModeled Data</v>
      </c>
      <c r="O20" s="131">
        <v>4</v>
      </c>
    </row>
    <row r="21" spans="1:15" ht="13.5" thickBot="1" x14ac:dyDescent="0.25">
      <c r="A21" s="158"/>
      <c r="B21" s="155"/>
      <c r="C21" s="155"/>
      <c r="D21" s="155"/>
      <c r="E21" s="155"/>
      <c r="F21" s="138"/>
      <c r="G21" s="139"/>
      <c r="H21" s="149"/>
      <c r="I21" s="140"/>
      <c r="J21" s="155"/>
      <c r="L21" s="128" t="s">
        <v>294</v>
      </c>
      <c r="M21" s="129" t="s">
        <v>153</v>
      </c>
      <c r="N21" s="130" t="str">
        <f t="shared" si="0"/>
        <v>Web DegreasingModeled Data</v>
      </c>
      <c r="O21" s="131">
        <v>5</v>
      </c>
    </row>
    <row r="22" spans="1:15" ht="13.5" thickBot="1" x14ac:dyDescent="0.25">
      <c r="A22" s="155"/>
      <c r="B22" s="155"/>
      <c r="C22" s="155"/>
      <c r="D22" s="157" t="s">
        <v>293</v>
      </c>
      <c r="E22" s="148" t="s">
        <v>295</v>
      </c>
      <c r="F22" s="155"/>
      <c r="G22" s="155"/>
      <c r="H22" s="155"/>
      <c r="I22" s="155"/>
      <c r="J22" s="155"/>
      <c r="L22" s="128" t="s">
        <v>294</v>
      </c>
      <c r="M22" s="129" t="s">
        <v>153</v>
      </c>
      <c r="N22" s="130" t="str">
        <f t="shared" si="0"/>
        <v>Web DegreasingModeled Data</v>
      </c>
      <c r="O22" s="131">
        <v>5</v>
      </c>
    </row>
    <row r="23" spans="1:15" ht="26.25" thickTop="1" x14ac:dyDescent="0.2">
      <c r="A23" s="155"/>
      <c r="B23" s="155"/>
      <c r="C23" s="155"/>
      <c r="D23" s="170">
        <v>5</v>
      </c>
      <c r="E23" s="148" t="s">
        <v>296</v>
      </c>
      <c r="F23" s="155"/>
      <c r="G23" s="155"/>
      <c r="H23" s="155"/>
      <c r="I23" s="155"/>
      <c r="J23" s="155"/>
      <c r="L23" s="128" t="s">
        <v>297</v>
      </c>
      <c r="M23" s="129" t="s">
        <v>235</v>
      </c>
      <c r="N23" s="130" t="str">
        <f t="shared" si="0"/>
        <v>Cold CleaningMonitoring Data</v>
      </c>
      <c r="O23" s="131" t="s">
        <v>298</v>
      </c>
    </row>
    <row r="24" spans="1:15" x14ac:dyDescent="0.2">
      <c r="A24" s="155"/>
      <c r="B24" s="155"/>
      <c r="C24" s="155"/>
      <c r="D24" s="160">
        <v>10</v>
      </c>
      <c r="E24" s="148" t="s">
        <v>299</v>
      </c>
      <c r="F24" s="155"/>
      <c r="G24" s="155"/>
      <c r="H24" s="155"/>
      <c r="I24" s="155"/>
      <c r="J24" s="155"/>
      <c r="L24" s="128" t="s">
        <v>297</v>
      </c>
      <c r="M24" s="129" t="s">
        <v>153</v>
      </c>
      <c r="N24" s="130" t="str">
        <f t="shared" si="0"/>
        <v>Cold CleaningModeled Data</v>
      </c>
      <c r="O24" s="131" t="s">
        <v>300</v>
      </c>
    </row>
    <row r="25" spans="1:15" ht="13.5" thickBot="1" x14ac:dyDescent="0.25">
      <c r="A25" s="155"/>
      <c r="B25" s="155"/>
      <c r="C25" s="155"/>
      <c r="D25" s="162">
        <v>20</v>
      </c>
      <c r="E25" s="155"/>
      <c r="F25" s="155"/>
      <c r="G25" s="155"/>
      <c r="H25" s="155"/>
      <c r="I25" s="155"/>
      <c r="J25" s="155"/>
      <c r="L25" s="128" t="s">
        <v>297</v>
      </c>
      <c r="M25" s="129" t="s">
        <v>153</v>
      </c>
      <c r="N25" s="130" t="str">
        <f t="shared" si="0"/>
        <v>Cold CleaningModeled Data</v>
      </c>
      <c r="O25" s="131" t="s">
        <v>300</v>
      </c>
    </row>
    <row r="26" spans="1:15" x14ac:dyDescent="0.2">
      <c r="A26" s="155"/>
      <c r="B26" s="155"/>
      <c r="C26" s="155"/>
      <c r="D26" s="155"/>
      <c r="E26" s="155"/>
      <c r="F26" s="155"/>
      <c r="G26" s="155"/>
      <c r="H26" s="155"/>
      <c r="I26" s="155"/>
      <c r="J26" s="155"/>
      <c r="L26" s="128" t="s">
        <v>301</v>
      </c>
      <c r="M26" s="129" t="s">
        <v>235</v>
      </c>
      <c r="N26" s="130" t="str">
        <f t="shared" si="0"/>
        <v>Aerosol Degreasing/LubricantsMonitoring Data</v>
      </c>
      <c r="O26" s="131" t="s">
        <v>302</v>
      </c>
    </row>
    <row r="27" spans="1:15" x14ac:dyDescent="0.2">
      <c r="A27" s="155"/>
      <c r="B27" s="155"/>
      <c r="C27" s="155"/>
      <c r="D27" s="155"/>
      <c r="E27" s="155"/>
      <c r="F27" s="155"/>
      <c r="G27" s="155"/>
      <c r="H27" s="155"/>
      <c r="I27" s="155"/>
      <c r="J27" s="155"/>
      <c r="L27" s="128" t="s">
        <v>301</v>
      </c>
      <c r="M27" s="129" t="s">
        <v>153</v>
      </c>
      <c r="N27" s="130" t="str">
        <f t="shared" si="0"/>
        <v>Aerosol Degreasing/LubricantsModeled Data</v>
      </c>
      <c r="O27" s="131" t="s">
        <v>303</v>
      </c>
    </row>
    <row r="28" spans="1:15" x14ac:dyDescent="0.2">
      <c r="A28" s="155"/>
      <c r="B28" s="155"/>
      <c r="C28" s="155"/>
      <c r="D28" s="155"/>
      <c r="E28" s="155"/>
      <c r="F28" s="155"/>
      <c r="G28" s="155"/>
      <c r="H28" s="155"/>
      <c r="I28" s="155"/>
      <c r="J28" s="155"/>
      <c r="L28" s="128" t="s">
        <v>301</v>
      </c>
      <c r="M28" s="129" t="s">
        <v>153</v>
      </c>
      <c r="N28" s="130" t="str">
        <f t="shared" si="0"/>
        <v>Aerosol Degreasing/LubricantsModeled Data</v>
      </c>
      <c r="O28" s="131" t="s">
        <v>303</v>
      </c>
    </row>
    <row r="29" spans="1:15" x14ac:dyDescent="0.2">
      <c r="A29" s="155"/>
      <c r="B29" s="155"/>
      <c r="C29" s="155"/>
      <c r="D29" s="155"/>
      <c r="E29" s="155"/>
      <c r="F29" s="155"/>
      <c r="G29" s="155"/>
      <c r="H29" s="155"/>
      <c r="I29" s="155"/>
      <c r="J29" s="155"/>
      <c r="L29" s="128" t="s">
        <v>304</v>
      </c>
      <c r="M29" s="129" t="s">
        <v>235</v>
      </c>
      <c r="N29" s="130" t="str">
        <f t="shared" si="0"/>
        <v>Post-2006 Dry Cleaning (including spot cleaning)Monitoring Data</v>
      </c>
      <c r="O29" s="131" t="s">
        <v>305</v>
      </c>
    </row>
    <row r="30" spans="1:15" x14ac:dyDescent="0.2">
      <c r="A30" s="155"/>
      <c r="B30" s="155"/>
      <c r="C30" s="155"/>
      <c r="D30" s="155"/>
      <c r="E30" s="155"/>
      <c r="F30" s="155"/>
      <c r="G30" s="155"/>
      <c r="H30" s="155"/>
      <c r="I30" s="155"/>
      <c r="J30" s="155"/>
      <c r="L30" s="128" t="s">
        <v>304</v>
      </c>
      <c r="M30" s="129" t="s">
        <v>235</v>
      </c>
      <c r="N30" s="130" t="str">
        <f t="shared" si="0"/>
        <v>Post-2006 Dry Cleaning (including spot cleaning)Monitoring Data</v>
      </c>
      <c r="O30" s="131" t="s">
        <v>305</v>
      </c>
    </row>
    <row r="31" spans="1:15" x14ac:dyDescent="0.2">
      <c r="A31" s="155"/>
      <c r="B31" s="155"/>
      <c r="C31" s="155"/>
      <c r="D31" s="155"/>
      <c r="E31" s="155"/>
      <c r="F31" s="155"/>
      <c r="G31" s="155"/>
      <c r="H31" s="155"/>
      <c r="I31" s="155"/>
      <c r="J31" s="155"/>
      <c r="L31" s="128" t="s">
        <v>306</v>
      </c>
      <c r="M31" s="129" t="s">
        <v>235</v>
      </c>
      <c r="N31" s="130" t="str">
        <f t="shared" si="0"/>
        <v>4th/5th Gen Only Dry Cleaning (including spot cleaning)Monitoring Data</v>
      </c>
      <c r="O31" s="131" t="s">
        <v>307</v>
      </c>
    </row>
    <row r="32" spans="1:15" x14ac:dyDescent="0.2">
      <c r="A32" s="155"/>
      <c r="B32" s="155"/>
      <c r="C32" s="155"/>
      <c r="D32" s="155"/>
      <c r="E32" s="155"/>
      <c r="F32" s="155"/>
      <c r="G32" s="155"/>
      <c r="H32" s="155"/>
      <c r="I32" s="155"/>
      <c r="J32" s="155"/>
      <c r="L32" s="128" t="s">
        <v>306</v>
      </c>
      <c r="M32" s="129" t="s">
        <v>235</v>
      </c>
      <c r="N32" s="130" t="str">
        <f t="shared" si="0"/>
        <v>4th/5th Gen Only Dry Cleaning (including spot cleaning)Monitoring Data</v>
      </c>
      <c r="O32" s="131" t="s">
        <v>307</v>
      </c>
    </row>
    <row r="33" spans="1:15" x14ac:dyDescent="0.2">
      <c r="A33" s="155"/>
      <c r="B33" s="155"/>
      <c r="C33" s="155"/>
      <c r="D33" s="155"/>
      <c r="E33" s="155"/>
      <c r="F33" s="155"/>
      <c r="G33" s="155"/>
      <c r="H33" s="155"/>
      <c r="I33" s="155"/>
      <c r="J33" s="155"/>
      <c r="L33" s="128" t="s">
        <v>304</v>
      </c>
      <c r="M33" s="129" t="s">
        <v>153</v>
      </c>
      <c r="N33" s="130" t="str">
        <f t="shared" si="0"/>
        <v>Post-2006 Dry Cleaning (including spot cleaning)Modeled Data</v>
      </c>
      <c r="O33" s="131" t="s">
        <v>308</v>
      </c>
    </row>
    <row r="34" spans="1:15" x14ac:dyDescent="0.2">
      <c r="A34" s="155"/>
      <c r="B34" s="155"/>
      <c r="C34" s="155"/>
      <c r="D34" s="155"/>
      <c r="E34" s="155"/>
      <c r="F34" s="155"/>
      <c r="G34" s="155"/>
      <c r="H34" s="155"/>
      <c r="I34" s="155"/>
      <c r="J34" s="155"/>
      <c r="L34" s="128" t="s">
        <v>304</v>
      </c>
      <c r="M34" s="129" t="s">
        <v>153</v>
      </c>
      <c r="N34" s="130" t="str">
        <f t="shared" si="0"/>
        <v>Post-2006 Dry Cleaning (including spot cleaning)Modeled Data</v>
      </c>
      <c r="O34" s="131" t="s">
        <v>308</v>
      </c>
    </row>
    <row r="35" spans="1:15" x14ac:dyDescent="0.2">
      <c r="A35" s="155"/>
      <c r="B35" s="155"/>
      <c r="C35" s="155"/>
      <c r="D35" s="155"/>
      <c r="E35" s="155"/>
      <c r="F35" s="155"/>
      <c r="G35" s="155"/>
      <c r="H35" s="155"/>
      <c r="I35" s="155"/>
      <c r="J35" s="155"/>
      <c r="L35" s="128" t="s">
        <v>309</v>
      </c>
      <c r="M35" s="129" t="s">
        <v>235</v>
      </c>
      <c r="N35" s="130" t="str">
        <f t="shared" si="0"/>
        <v>Paints/Coatings (commercial)Monitoring Data</v>
      </c>
      <c r="O35" s="131" t="s">
        <v>310</v>
      </c>
    </row>
    <row r="36" spans="1:15" x14ac:dyDescent="0.2">
      <c r="A36" s="155"/>
      <c r="B36" s="155"/>
      <c r="C36" s="155"/>
      <c r="D36" s="155"/>
      <c r="E36" s="155"/>
      <c r="F36" s="155"/>
      <c r="G36" s="155"/>
      <c r="H36" s="155"/>
      <c r="I36" s="155"/>
      <c r="J36" s="155"/>
      <c r="L36" s="128" t="s">
        <v>309</v>
      </c>
      <c r="M36" s="129" t="s">
        <v>191</v>
      </c>
      <c r="N36" s="130" t="str">
        <f t="shared" si="0"/>
        <v>Paints/Coatings (commercial)N/A</v>
      </c>
      <c r="O36" s="131" t="s">
        <v>310</v>
      </c>
    </row>
    <row r="37" spans="1:15" x14ac:dyDescent="0.2">
      <c r="A37" s="155"/>
      <c r="B37" s="155"/>
      <c r="C37" s="155"/>
      <c r="D37" s="155"/>
      <c r="E37" s="155"/>
      <c r="F37" s="155"/>
      <c r="G37" s="155"/>
      <c r="H37" s="155"/>
      <c r="I37" s="155"/>
      <c r="J37" s="155"/>
      <c r="L37" s="128" t="s">
        <v>311</v>
      </c>
      <c r="M37" s="129" t="s">
        <v>235</v>
      </c>
      <c r="N37" s="130" t="str">
        <f t="shared" si="0"/>
        <v>Paints/Coatings (industrial)Monitoring Data</v>
      </c>
      <c r="O37" s="131" t="s">
        <v>312</v>
      </c>
    </row>
    <row r="38" spans="1:15" x14ac:dyDescent="0.2">
      <c r="A38" s="155"/>
      <c r="B38" s="155"/>
      <c r="C38" s="155"/>
      <c r="D38" s="155"/>
      <c r="E38" s="155"/>
      <c r="F38" s="155"/>
      <c r="G38" s="155"/>
      <c r="H38" s="155"/>
      <c r="I38" s="155"/>
      <c r="J38" s="155"/>
      <c r="L38" s="128" t="s">
        <v>311</v>
      </c>
      <c r="M38" s="129" t="s">
        <v>191</v>
      </c>
      <c r="N38" s="130" t="str">
        <f t="shared" si="0"/>
        <v>Paints/Coatings (industrial)N/A</v>
      </c>
      <c r="O38" s="131" t="s">
        <v>312</v>
      </c>
    </row>
    <row r="39" spans="1:15" x14ac:dyDescent="0.2">
      <c r="A39" s="155"/>
      <c r="B39" s="155"/>
      <c r="C39" s="155"/>
      <c r="D39" s="155"/>
      <c r="E39" s="155"/>
      <c r="F39" s="155"/>
      <c r="G39" s="155"/>
      <c r="H39" s="155"/>
      <c r="I39" s="155"/>
      <c r="J39" s="155"/>
      <c r="L39" s="128" t="s">
        <v>313</v>
      </c>
      <c r="M39" s="129" t="s">
        <v>235</v>
      </c>
      <c r="N39" s="130" t="str">
        <f t="shared" si="0"/>
        <v>Adhesives (commercial)Monitoring Data</v>
      </c>
      <c r="O39" s="131" t="s">
        <v>314</v>
      </c>
    </row>
    <row r="40" spans="1:15" x14ac:dyDescent="0.2">
      <c r="A40" s="155"/>
      <c r="B40" s="155"/>
      <c r="C40" s="155"/>
      <c r="D40" s="155"/>
      <c r="E40" s="155"/>
      <c r="F40" s="155"/>
      <c r="G40" s="155"/>
      <c r="H40" s="155"/>
      <c r="I40" s="155"/>
      <c r="J40" s="155"/>
      <c r="L40" s="128" t="s">
        <v>313</v>
      </c>
      <c r="M40" s="129" t="s">
        <v>191</v>
      </c>
      <c r="N40" s="130" t="str">
        <f t="shared" si="0"/>
        <v>Adhesives (commercial)N/A</v>
      </c>
      <c r="O40" s="131" t="s">
        <v>314</v>
      </c>
    </row>
    <row r="41" spans="1:15" x14ac:dyDescent="0.2">
      <c r="D41" s="155"/>
      <c r="F41" s="155"/>
      <c r="G41" s="155"/>
      <c r="H41" s="155"/>
      <c r="I41" s="155"/>
      <c r="L41" s="128" t="s">
        <v>315</v>
      </c>
      <c r="M41" s="129" t="s">
        <v>235</v>
      </c>
      <c r="N41" s="130" t="str">
        <f t="shared" si="0"/>
        <v>Adhesives (industrial)Monitoring Data</v>
      </c>
      <c r="O41" s="131" t="s">
        <v>316</v>
      </c>
    </row>
    <row r="42" spans="1:15" x14ac:dyDescent="0.2">
      <c r="D42" s="155"/>
      <c r="F42" s="155"/>
      <c r="G42" s="155"/>
      <c r="H42" s="155"/>
      <c r="I42" s="155"/>
      <c r="L42" s="128" t="s">
        <v>315</v>
      </c>
      <c r="M42" s="129" t="s">
        <v>191</v>
      </c>
      <c r="N42" s="130" t="str">
        <f t="shared" si="0"/>
        <v>Adhesives (industrial)N/A</v>
      </c>
      <c r="O42" s="131" t="s">
        <v>316</v>
      </c>
    </row>
    <row r="43" spans="1:15" x14ac:dyDescent="0.2">
      <c r="L43" s="128" t="s">
        <v>317</v>
      </c>
      <c r="M43" s="129" t="s">
        <v>235</v>
      </c>
      <c r="N43" s="130" t="str">
        <f t="shared" si="0"/>
        <v>Chemical MaskantMonitoring Data</v>
      </c>
      <c r="O43" s="131">
        <v>10</v>
      </c>
    </row>
    <row r="44" spans="1:15" x14ac:dyDescent="0.2">
      <c r="L44" s="128" t="s">
        <v>317</v>
      </c>
      <c r="M44" s="129" t="s">
        <v>235</v>
      </c>
      <c r="N44" s="130" t="str">
        <f t="shared" si="0"/>
        <v>Chemical MaskantMonitoring Data</v>
      </c>
      <c r="O44" s="131">
        <v>10</v>
      </c>
    </row>
    <row r="45" spans="1:15" x14ac:dyDescent="0.2">
      <c r="L45" s="128" t="s">
        <v>318</v>
      </c>
      <c r="M45" s="129" t="s">
        <v>235</v>
      </c>
      <c r="N45" s="130" t="str">
        <f t="shared" si="0"/>
        <v>Industrial Processing AidMonitoring Data</v>
      </c>
      <c r="O45" s="131">
        <v>14</v>
      </c>
    </row>
    <row r="46" spans="1:15" x14ac:dyDescent="0.2">
      <c r="L46" s="128" t="s">
        <v>319</v>
      </c>
      <c r="M46" s="129" t="s">
        <v>235</v>
      </c>
      <c r="N46" s="130" t="str">
        <f t="shared" si="0"/>
        <v>Other Industrial Uses - MiscellaneousMonitoring Data</v>
      </c>
      <c r="O46" s="131" t="s">
        <v>320</v>
      </c>
    </row>
    <row r="47" spans="1:15" x14ac:dyDescent="0.2">
      <c r="L47" s="128" t="s">
        <v>321</v>
      </c>
      <c r="M47" s="129" t="s">
        <v>235</v>
      </c>
      <c r="N47" s="130" t="str">
        <f t="shared" si="0"/>
        <v>Other Industrial Uses - Textile ProcessingMonitoring Data</v>
      </c>
      <c r="O47" s="131" t="s">
        <v>322</v>
      </c>
    </row>
    <row r="48" spans="1:15" x14ac:dyDescent="0.2">
      <c r="L48" s="128" t="s">
        <v>323</v>
      </c>
      <c r="M48" s="129" t="s">
        <v>235</v>
      </c>
      <c r="N48" s="130" t="str">
        <f t="shared" si="0"/>
        <v>Other Industrial Uses - Wood Furniture ManufacturingMonitoring Data</v>
      </c>
      <c r="O48" s="131" t="s">
        <v>324</v>
      </c>
    </row>
    <row r="49" spans="12:15" x14ac:dyDescent="0.2">
      <c r="L49" s="128" t="s">
        <v>325</v>
      </c>
      <c r="M49" s="129" t="s">
        <v>235</v>
      </c>
      <c r="N49" s="130" t="str">
        <f t="shared" si="0"/>
        <v>Other Industrial Uses - Foundry ApplicationsMonitoring Data</v>
      </c>
      <c r="O49" s="131" t="s">
        <v>326</v>
      </c>
    </row>
    <row r="50" spans="12:15" x14ac:dyDescent="0.2">
      <c r="L50" s="128" t="s">
        <v>327</v>
      </c>
      <c r="M50" s="129" t="s">
        <v>153</v>
      </c>
      <c r="N50" s="130" t="str">
        <f t="shared" si="0"/>
        <v>Metalworking FluidModeled Data</v>
      </c>
      <c r="O50" s="131">
        <v>16</v>
      </c>
    </row>
    <row r="51" spans="12:15" x14ac:dyDescent="0.2">
      <c r="L51" s="128" t="s">
        <v>328</v>
      </c>
      <c r="M51" s="129" t="s">
        <v>235</v>
      </c>
      <c r="N51" s="130" t="str">
        <f t="shared" si="0"/>
        <v>Wipe Cleaning and Metal/Stone PolishesMonitoring Data</v>
      </c>
      <c r="O51" s="131">
        <v>17</v>
      </c>
    </row>
    <row r="52" spans="12:15" x14ac:dyDescent="0.2">
      <c r="L52" s="128" t="s">
        <v>328</v>
      </c>
      <c r="M52" s="129" t="s">
        <v>235</v>
      </c>
      <c r="N52" s="130" t="str">
        <f t="shared" si="0"/>
        <v>Wipe Cleaning and Metal/Stone PolishesMonitoring Data</v>
      </c>
      <c r="O52" s="131">
        <v>17</v>
      </c>
    </row>
    <row r="53" spans="12:15" ht="25.5" x14ac:dyDescent="0.2">
      <c r="L53" s="12" t="s">
        <v>329</v>
      </c>
      <c r="M53" s="129" t="s">
        <v>235</v>
      </c>
      <c r="N53" s="130" t="str">
        <f t="shared" si="0"/>
        <v>Other Spot Cleaning/Spot Removers (Including Carpet Cleaning)Monitoring Data</v>
      </c>
      <c r="O53" s="131">
        <v>18</v>
      </c>
    </row>
    <row r="54" spans="12:15" ht="25.5" x14ac:dyDescent="0.2">
      <c r="L54" s="12" t="s">
        <v>329</v>
      </c>
      <c r="M54" s="129" t="s">
        <v>235</v>
      </c>
      <c r="N54" s="130" t="str">
        <f t="shared" si="0"/>
        <v>Other Spot Cleaning/Spot Removers (Including Carpet Cleaning)Monitoring Data</v>
      </c>
      <c r="O54" s="131">
        <v>18</v>
      </c>
    </row>
    <row r="55" spans="12:15" x14ac:dyDescent="0.2">
      <c r="L55" s="128" t="s">
        <v>330</v>
      </c>
      <c r="M55" s="129" t="s">
        <v>235</v>
      </c>
      <c r="N55" s="130" t="str">
        <f t="shared" si="0"/>
        <v>Other Commercial Uses - PrintingMonitoring Data</v>
      </c>
      <c r="O55" s="131" t="s">
        <v>331</v>
      </c>
    </row>
    <row r="56" spans="12:15" x14ac:dyDescent="0.2">
      <c r="L56" s="128" t="s">
        <v>332</v>
      </c>
      <c r="M56" s="129" t="s">
        <v>235</v>
      </c>
      <c r="N56" s="130" t="str">
        <f t="shared" si="0"/>
        <v>Other Commercial Uses - PhotocopyingMonitoring Data</v>
      </c>
      <c r="O56" s="131" t="s">
        <v>333</v>
      </c>
    </row>
    <row r="57" spans="12:15" x14ac:dyDescent="0.2">
      <c r="L57" s="128" t="s">
        <v>334</v>
      </c>
      <c r="M57" s="129" t="s">
        <v>235</v>
      </c>
      <c r="N57" s="130" t="str">
        <f t="shared" si="0"/>
        <v>Other Commercial Uses - Photographic FilmMonitoring Data</v>
      </c>
      <c r="O57" s="131" t="s">
        <v>335</v>
      </c>
    </row>
    <row r="58" spans="12:15" x14ac:dyDescent="0.2">
      <c r="L58" s="128" t="s">
        <v>336</v>
      </c>
      <c r="M58" s="129" t="s">
        <v>235</v>
      </c>
      <c r="N58" s="130" t="str">
        <f t="shared" si="0"/>
        <v>Other Commercial Uses - Mold ReleaseMonitoring Data</v>
      </c>
      <c r="O58" s="131" t="s">
        <v>337</v>
      </c>
    </row>
    <row r="59" spans="12:15" x14ac:dyDescent="0.2">
      <c r="L59" s="150" t="s">
        <v>338</v>
      </c>
      <c r="M59" s="151" t="s">
        <v>235</v>
      </c>
      <c r="N59" s="130" t="str">
        <f t="shared" si="0"/>
        <v>Other DOD Uses - Water Pipe RepairMonitoring Data</v>
      </c>
      <c r="O59" s="28" t="s">
        <v>339</v>
      </c>
    </row>
    <row r="60" spans="12:15" x14ac:dyDescent="0.2">
      <c r="L60" s="150" t="s">
        <v>340</v>
      </c>
      <c r="M60" s="151" t="s">
        <v>235</v>
      </c>
      <c r="N60" s="130" t="str">
        <f t="shared" si="0"/>
        <v>Other DOD Uses - Oil analysisMonitoring Data</v>
      </c>
      <c r="O60" s="28" t="s">
        <v>341</v>
      </c>
    </row>
    <row r="61" spans="12:15" x14ac:dyDescent="0.2">
      <c r="L61" s="128" t="s">
        <v>342</v>
      </c>
      <c r="M61" s="129" t="s">
        <v>235</v>
      </c>
      <c r="N61" s="130" t="str">
        <f t="shared" si="0"/>
        <v>Disposal/Recycling and DisposalMonitoring Data</v>
      </c>
      <c r="O61" s="131">
        <v>21</v>
      </c>
    </row>
    <row r="62" spans="12:15" ht="13.5" thickBot="1" x14ac:dyDescent="0.25">
      <c r="L62" s="152" t="s">
        <v>343</v>
      </c>
      <c r="M62" s="153" t="s">
        <v>235</v>
      </c>
      <c r="N62" s="130" t="str">
        <f t="shared" si="0"/>
        <v>Laboratory ChemicalsMonitoring Data</v>
      </c>
      <c r="O62" s="154">
        <v>22</v>
      </c>
    </row>
  </sheetData>
  <sheetProtection sheet="1" objects="1" scenarios="1" formatCells="0" formatColumns="0" formatRows="0"/>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41240-2A0D-4766-9250-85744E11E255}">
  <sheetPr codeName="Sheet8">
    <tabColor theme="1"/>
  </sheetPr>
  <dimension ref="B1:G23"/>
  <sheetViews>
    <sheetView workbookViewId="0"/>
  </sheetViews>
  <sheetFormatPr defaultColWidth="9.140625" defaultRowHeight="12.75" x14ac:dyDescent="0.2"/>
  <cols>
    <col min="1" max="1" width="4.85546875" style="4" customWidth="1"/>
    <col min="2" max="2" width="35.5703125" style="4" customWidth="1"/>
    <col min="3" max="3" width="10.42578125" style="4" customWidth="1"/>
    <col min="4" max="4" width="13.140625" style="4" customWidth="1"/>
    <col min="5" max="5" width="16.5703125" style="4" bestFit="1" customWidth="1"/>
    <col min="6" max="6" width="62" style="4" customWidth="1"/>
    <col min="7" max="7" width="10.85546875" style="4" customWidth="1"/>
    <col min="8" max="16384" width="9.140625" style="4"/>
  </cols>
  <sheetData>
    <row r="1" spans="2:7" ht="15.75" x14ac:dyDescent="0.25">
      <c r="B1" s="184" t="s">
        <v>344</v>
      </c>
    </row>
    <row r="3" spans="2:7" ht="38.25" x14ac:dyDescent="0.2">
      <c r="C3" s="171" t="s">
        <v>52</v>
      </c>
      <c r="D3" s="172" t="s">
        <v>96</v>
      </c>
      <c r="E3" s="172" t="s">
        <v>345</v>
      </c>
      <c r="F3" s="222" t="s">
        <v>346</v>
      </c>
    </row>
    <row r="4" spans="2:7" ht="38.25" x14ac:dyDescent="0.2">
      <c r="B4" s="173" t="s">
        <v>347</v>
      </c>
      <c r="C4" s="174">
        <v>80</v>
      </c>
      <c r="D4" s="175">
        <f>AVERAGE(65.9,71.9,74.8,77.1)</f>
        <v>72.425000000000011</v>
      </c>
      <c r="E4" s="219"/>
      <c r="F4" s="246" t="s">
        <v>348</v>
      </c>
      <c r="G4" s="376"/>
    </row>
    <row r="5" spans="2:7" ht="15.75" x14ac:dyDescent="0.2">
      <c r="B5" s="173" t="s">
        <v>349</v>
      </c>
      <c r="C5" s="176">
        <f>C6/2</f>
        <v>535</v>
      </c>
      <c r="D5" s="177">
        <f>D6/2</f>
        <v>445</v>
      </c>
      <c r="E5" s="220" t="s">
        <v>68</v>
      </c>
      <c r="F5" s="534" t="s">
        <v>350</v>
      </c>
    </row>
    <row r="6" spans="2:7" ht="15.75" x14ac:dyDescent="0.2">
      <c r="B6" s="173" t="s">
        <v>351</v>
      </c>
      <c r="C6" s="178">
        <v>1070</v>
      </c>
      <c r="D6" s="179">
        <v>890</v>
      </c>
      <c r="E6" s="220" t="s">
        <v>67</v>
      </c>
      <c r="F6" s="535"/>
    </row>
    <row r="7" spans="2:7" x14ac:dyDescent="0.2">
      <c r="B7" s="173" t="s">
        <v>352</v>
      </c>
      <c r="C7" s="176">
        <v>40</v>
      </c>
      <c r="D7" s="177">
        <v>40</v>
      </c>
      <c r="E7" s="220" t="s">
        <v>67</v>
      </c>
      <c r="F7" s="223"/>
    </row>
    <row r="8" spans="2:7" x14ac:dyDescent="0.2">
      <c r="B8" s="173" t="s">
        <v>353</v>
      </c>
      <c r="C8" s="176">
        <v>31</v>
      </c>
      <c r="D8" s="177">
        <v>31</v>
      </c>
      <c r="E8" s="220" t="s">
        <v>68</v>
      </c>
      <c r="F8" s="223"/>
    </row>
    <row r="9" spans="2:7" x14ac:dyDescent="0.2">
      <c r="B9" s="173" t="s">
        <v>354</v>
      </c>
      <c r="C9" s="176">
        <v>78</v>
      </c>
      <c r="D9" s="177">
        <v>78</v>
      </c>
      <c r="E9" s="220"/>
      <c r="F9" s="223"/>
    </row>
    <row r="10" spans="2:7" ht="15.75" x14ac:dyDescent="0.2">
      <c r="B10" s="173" t="s">
        <v>355</v>
      </c>
      <c r="C10" s="539">
        <v>1.25</v>
      </c>
      <c r="D10" s="540"/>
      <c r="E10" s="220" t="s">
        <v>356</v>
      </c>
      <c r="F10" s="223" t="s">
        <v>357</v>
      </c>
    </row>
    <row r="11" spans="2:7" ht="15.75" x14ac:dyDescent="0.2">
      <c r="B11" s="180" t="s">
        <v>358</v>
      </c>
      <c r="C11" s="181">
        <v>0.61250000000000004</v>
      </c>
      <c r="D11" s="182"/>
      <c r="E11" s="221" t="s">
        <v>356</v>
      </c>
      <c r="F11" s="224"/>
    </row>
    <row r="12" spans="2:7" x14ac:dyDescent="0.2">
      <c r="B12" s="537"/>
      <c r="C12" s="537"/>
      <c r="D12" s="537"/>
      <c r="E12" s="537"/>
    </row>
    <row r="13" spans="2:7" x14ac:dyDescent="0.2">
      <c r="B13" s="90" t="s">
        <v>359</v>
      </c>
    </row>
    <row r="14" spans="2:7" x14ac:dyDescent="0.2">
      <c r="B14" s="183" t="s">
        <v>360</v>
      </c>
    </row>
    <row r="15" spans="2:7" x14ac:dyDescent="0.2">
      <c r="B15" s="4" t="s">
        <v>361</v>
      </c>
    </row>
    <row r="16" spans="2:7" x14ac:dyDescent="0.2">
      <c r="B16" s="4" t="s">
        <v>362</v>
      </c>
    </row>
    <row r="17" spans="2:5" x14ac:dyDescent="0.2">
      <c r="B17" s="4" t="s">
        <v>363</v>
      </c>
    </row>
    <row r="18" spans="2:5" x14ac:dyDescent="0.2">
      <c r="B18" s="4" t="s">
        <v>364</v>
      </c>
    </row>
    <row r="19" spans="2:5" x14ac:dyDescent="0.2">
      <c r="B19" s="4" t="s">
        <v>365</v>
      </c>
    </row>
    <row r="21" spans="2:5" x14ac:dyDescent="0.2">
      <c r="B21" s="536" t="s">
        <v>366</v>
      </c>
      <c r="C21" s="536"/>
      <c r="D21" s="536"/>
      <c r="E21" s="536"/>
    </row>
    <row r="22" spans="2:5" x14ac:dyDescent="0.2">
      <c r="B22" s="538" t="s">
        <v>367</v>
      </c>
      <c r="C22" s="538"/>
      <c r="D22" s="538"/>
      <c r="E22" s="538"/>
    </row>
    <row r="23" spans="2:5" x14ac:dyDescent="0.2">
      <c r="B23" s="538" t="s">
        <v>368</v>
      </c>
      <c r="C23" s="538"/>
      <c r="D23" s="538"/>
      <c r="E23" s="538"/>
    </row>
  </sheetData>
  <sheetProtection sheet="1" objects="1" scenarios="1" formatCells="0" formatColumns="0" formatRows="0"/>
  <mergeCells count="6">
    <mergeCell ref="F5:F6"/>
    <mergeCell ref="B21:E21"/>
    <mergeCell ref="B12:E12"/>
    <mergeCell ref="B22:E22"/>
    <mergeCell ref="B23:E23"/>
    <mergeCell ref="C10:D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73E7E-60EB-4022-BE19-E14BB305BE60}">
  <sheetPr codeName="Sheet2">
    <tabColor rgb="FF92D050"/>
  </sheetPr>
  <dimension ref="A1:B13"/>
  <sheetViews>
    <sheetView workbookViewId="0">
      <selection activeCell="B11" sqref="B11"/>
    </sheetView>
  </sheetViews>
  <sheetFormatPr defaultColWidth="9.140625" defaultRowHeight="12.75" x14ac:dyDescent="0.2"/>
  <cols>
    <col min="1" max="1" width="18.140625" style="1" customWidth="1"/>
    <col min="2" max="2" width="176.85546875" style="1" customWidth="1"/>
    <col min="3" max="16384" width="9.140625" style="1"/>
  </cols>
  <sheetData>
    <row r="1" spans="1:2" ht="15.75" x14ac:dyDescent="0.2">
      <c r="A1" s="189" t="s">
        <v>0</v>
      </c>
      <c r="B1" s="375"/>
    </row>
    <row r="2" spans="1:2" ht="50.25" customHeight="1" x14ac:dyDescent="0.2">
      <c r="A2" s="392" t="s">
        <v>1</v>
      </c>
      <c r="B2" s="392"/>
    </row>
    <row r="3" spans="1:2" x14ac:dyDescent="0.2">
      <c r="A3" s="89"/>
      <c r="B3" s="89"/>
    </row>
    <row r="4" spans="1:2" x14ac:dyDescent="0.2">
      <c r="A4" s="541" t="s">
        <v>2</v>
      </c>
      <c r="B4" s="541" t="s">
        <v>3</v>
      </c>
    </row>
    <row r="5" spans="1:2" ht="25.5" x14ac:dyDescent="0.2">
      <c r="A5" s="12" t="s">
        <v>4</v>
      </c>
      <c r="B5" s="12" t="s">
        <v>370</v>
      </c>
    </row>
    <row r="6" spans="1:2" ht="89.25" x14ac:dyDescent="0.2">
      <c r="A6" s="12" t="s">
        <v>5</v>
      </c>
      <c r="B6" s="12" t="s">
        <v>371</v>
      </c>
    </row>
    <row r="7" spans="1:2" ht="38.25" x14ac:dyDescent="0.2">
      <c r="A7" s="12" t="s">
        <v>6</v>
      </c>
      <c r="B7" s="12" t="s">
        <v>372</v>
      </c>
    </row>
    <row r="8" spans="1:2" ht="45.75" customHeight="1" x14ac:dyDescent="0.2">
      <c r="A8" s="12" t="s">
        <v>7</v>
      </c>
      <c r="B8" s="12" t="s">
        <v>373</v>
      </c>
    </row>
    <row r="9" spans="1:2" ht="63.75" x14ac:dyDescent="0.2">
      <c r="A9" s="12" t="s">
        <v>8</v>
      </c>
      <c r="B9" s="12" t="s">
        <v>9</v>
      </c>
    </row>
    <row r="10" spans="1:2" ht="27" customHeight="1" x14ac:dyDescent="0.2"/>
    <row r="11" spans="1:2" ht="27" customHeight="1" x14ac:dyDescent="0.2"/>
    <row r="12" spans="1:2" ht="27" customHeight="1" x14ac:dyDescent="0.2"/>
    <row r="13" spans="1:2" ht="27" customHeight="1" x14ac:dyDescent="0.2"/>
  </sheetData>
  <sheetProtection sheet="1" objects="1" scenarios="1" formatCells="0" formatColumns="0" formatRows="0"/>
  <mergeCells count="1">
    <mergeCell ref="A2:B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9C1A0-D2AE-4E8C-83FD-637F8818DD82}">
  <sheetPr codeName="Sheet10">
    <tabColor rgb="FF92D050"/>
  </sheetPr>
  <dimension ref="A1:F37"/>
  <sheetViews>
    <sheetView workbookViewId="0"/>
  </sheetViews>
  <sheetFormatPr defaultColWidth="9.140625" defaultRowHeight="12.75" x14ac:dyDescent="0.2"/>
  <cols>
    <col min="1" max="1" width="54.140625" style="1" bestFit="1" customWidth="1"/>
    <col min="2" max="2" width="64.85546875" style="1" customWidth="1"/>
    <col min="3" max="3" width="94.85546875" style="1" customWidth="1"/>
    <col min="4" max="4" width="29.140625" style="1" customWidth="1"/>
    <col min="5" max="16384" width="9.140625" style="1"/>
  </cols>
  <sheetData>
    <row r="1" spans="1:6" ht="15.75" x14ac:dyDescent="0.25">
      <c r="A1" s="184" t="s">
        <v>10</v>
      </c>
      <c r="B1" s="376"/>
      <c r="C1" s="4"/>
      <c r="D1" s="4"/>
      <c r="E1" s="4"/>
      <c r="F1" s="4"/>
    </row>
    <row r="2" spans="1:6" x14ac:dyDescent="0.2">
      <c r="A2" s="201" t="s">
        <v>11</v>
      </c>
      <c r="B2" s="201" t="s">
        <v>12</v>
      </c>
      <c r="C2" s="201" t="s">
        <v>13</v>
      </c>
      <c r="D2" s="4"/>
      <c r="E2" s="4"/>
      <c r="F2" s="4"/>
    </row>
    <row r="3" spans="1:6" x14ac:dyDescent="0.2">
      <c r="A3" s="393" t="s">
        <v>374</v>
      </c>
      <c r="B3" s="393"/>
      <c r="C3" s="393"/>
      <c r="D3" s="4"/>
      <c r="E3" s="4"/>
      <c r="F3" s="4"/>
    </row>
    <row r="4" spans="1:6" ht="41.25" x14ac:dyDescent="0.2">
      <c r="A4" s="190" t="s">
        <v>14</v>
      </c>
      <c r="B4" s="207" t="s">
        <v>15</v>
      </c>
      <c r="C4" s="206" t="s">
        <v>16</v>
      </c>
      <c r="D4" s="4"/>
      <c r="E4" s="4"/>
      <c r="F4" s="4"/>
    </row>
    <row r="5" spans="1:6" ht="114.75" x14ac:dyDescent="0.2">
      <c r="A5" s="190" t="s">
        <v>17</v>
      </c>
      <c r="B5" s="244" t="s">
        <v>18</v>
      </c>
      <c r="C5" s="206" t="s">
        <v>19</v>
      </c>
      <c r="D5" s="4"/>
      <c r="E5" s="4"/>
      <c r="F5" s="4"/>
    </row>
    <row r="6" spans="1:6" ht="63.75" x14ac:dyDescent="0.2">
      <c r="A6" s="190" t="s">
        <v>20</v>
      </c>
      <c r="B6" s="244" t="s">
        <v>21</v>
      </c>
      <c r="C6" s="206" t="s">
        <v>22</v>
      </c>
      <c r="D6" s="4"/>
      <c r="E6" s="4"/>
      <c r="F6" s="4"/>
    </row>
    <row r="7" spans="1:6" x14ac:dyDescent="0.2">
      <c r="A7" s="190"/>
      <c r="B7" s="244"/>
      <c r="C7" s="206"/>
      <c r="D7" s="4"/>
      <c r="E7" s="4"/>
      <c r="F7" s="4"/>
    </row>
    <row r="8" spans="1:6" x14ac:dyDescent="0.2">
      <c r="A8" s="394" t="s">
        <v>23</v>
      </c>
      <c r="B8" s="395"/>
      <c r="C8" s="396"/>
      <c r="D8" s="4"/>
      <c r="E8" s="4"/>
      <c r="F8" s="4"/>
    </row>
    <row r="9" spans="1:6" x14ac:dyDescent="0.2">
      <c r="A9" s="203" t="s">
        <v>24</v>
      </c>
      <c r="B9" s="202" t="s">
        <v>25</v>
      </c>
      <c r="C9" s="204"/>
      <c r="D9" s="4"/>
      <c r="E9" s="4"/>
      <c r="F9" s="4"/>
    </row>
    <row r="10" spans="1:6" x14ac:dyDescent="0.2">
      <c r="A10" s="203" t="s">
        <v>26</v>
      </c>
      <c r="B10" s="202" t="s">
        <v>25</v>
      </c>
      <c r="C10" s="205"/>
      <c r="D10" s="4"/>
      <c r="E10" s="4"/>
      <c r="F10" s="4"/>
    </row>
    <row r="11" spans="1:6" ht="25.5" x14ac:dyDescent="0.2">
      <c r="A11" s="202" t="s">
        <v>27</v>
      </c>
      <c r="B11" s="202" t="s">
        <v>28</v>
      </c>
      <c r="C11" s="203" t="s">
        <v>29</v>
      </c>
      <c r="D11" s="4"/>
      <c r="E11" s="4"/>
      <c r="F11" s="4"/>
    </row>
    <row r="12" spans="1:6" ht="25.5" x14ac:dyDescent="0.2">
      <c r="A12" s="202" t="s">
        <v>30</v>
      </c>
      <c r="B12" s="202" t="s">
        <v>31</v>
      </c>
      <c r="C12" s="203" t="s">
        <v>29</v>
      </c>
      <c r="D12" s="4"/>
      <c r="E12" s="4"/>
      <c r="F12" s="4"/>
    </row>
    <row r="13" spans="1:6" ht="25.5" x14ac:dyDescent="0.2">
      <c r="A13" s="202" t="s">
        <v>32</v>
      </c>
      <c r="B13" s="202" t="s">
        <v>33</v>
      </c>
      <c r="C13" s="203" t="s">
        <v>29</v>
      </c>
      <c r="D13" s="4"/>
      <c r="E13" s="4"/>
      <c r="F13" s="4"/>
    </row>
    <row r="14" spans="1:6" x14ac:dyDescent="0.2">
      <c r="A14" s="202"/>
      <c r="B14" s="202"/>
      <c r="C14" s="203"/>
      <c r="D14" s="4"/>
      <c r="E14" s="4"/>
      <c r="F14" s="4"/>
    </row>
    <row r="15" spans="1:6" x14ac:dyDescent="0.2">
      <c r="A15" s="393" t="s">
        <v>34</v>
      </c>
      <c r="B15" s="393"/>
      <c r="C15" s="393"/>
      <c r="D15" s="4"/>
      <c r="E15" s="4"/>
      <c r="F15" s="4"/>
    </row>
    <row r="16" spans="1:6" ht="38.25" x14ac:dyDescent="0.2">
      <c r="A16" s="190" t="s">
        <v>14</v>
      </c>
      <c r="B16" s="202" t="s">
        <v>35</v>
      </c>
      <c r="C16" s="206" t="s">
        <v>36</v>
      </c>
      <c r="D16" s="4"/>
      <c r="E16" s="4"/>
      <c r="F16" s="4"/>
    </row>
    <row r="17" spans="1:6" ht="115.5" x14ac:dyDescent="0.25">
      <c r="A17" s="190" t="s">
        <v>37</v>
      </c>
      <c r="B17" s="202" t="s">
        <v>38</v>
      </c>
      <c r="C17" s="243" t="s">
        <v>39</v>
      </c>
      <c r="D17" s="4"/>
      <c r="E17" s="4"/>
      <c r="F17" s="4"/>
    </row>
    <row r="18" spans="1:6" ht="51" x14ac:dyDescent="0.2">
      <c r="A18" s="190" t="s">
        <v>20</v>
      </c>
      <c r="B18" s="244" t="s">
        <v>40</v>
      </c>
      <c r="C18" s="206" t="s">
        <v>41</v>
      </c>
      <c r="D18" s="4"/>
      <c r="E18" s="4"/>
      <c r="F18" s="4"/>
    </row>
    <row r="19" spans="1:6" x14ac:dyDescent="0.2">
      <c r="A19" s="190"/>
      <c r="B19" s="244"/>
      <c r="C19" s="206"/>
      <c r="D19" s="4"/>
      <c r="E19" s="4"/>
      <c r="F19" s="4"/>
    </row>
    <row r="20" spans="1:6" x14ac:dyDescent="0.2">
      <c r="A20" s="394" t="s">
        <v>42</v>
      </c>
      <c r="B20" s="395"/>
      <c r="C20" s="396"/>
      <c r="D20" s="4"/>
      <c r="E20" s="4"/>
      <c r="F20" s="4"/>
    </row>
    <row r="21" spans="1:6" x14ac:dyDescent="0.2">
      <c r="A21" s="203" t="s">
        <v>24</v>
      </c>
      <c r="B21" s="202" t="s">
        <v>25</v>
      </c>
      <c r="C21" s="204"/>
      <c r="D21" s="4"/>
      <c r="E21" s="4"/>
      <c r="F21" s="4"/>
    </row>
    <row r="22" spans="1:6" x14ac:dyDescent="0.2">
      <c r="A22" s="203" t="s">
        <v>26</v>
      </c>
      <c r="B22" s="202" t="s">
        <v>25</v>
      </c>
      <c r="C22" s="205"/>
      <c r="D22" s="4"/>
      <c r="E22" s="4"/>
      <c r="F22" s="4"/>
    </row>
    <row r="23" spans="1:6" ht="25.5" x14ac:dyDescent="0.2">
      <c r="A23" s="202" t="s">
        <v>27</v>
      </c>
      <c r="B23" s="202" t="s">
        <v>28</v>
      </c>
      <c r="C23" s="203" t="s">
        <v>29</v>
      </c>
      <c r="D23" s="4"/>
      <c r="E23" s="4"/>
      <c r="F23" s="4"/>
    </row>
    <row r="24" spans="1:6" ht="25.5" x14ac:dyDescent="0.2">
      <c r="A24" s="202" t="s">
        <v>30</v>
      </c>
      <c r="B24" s="202" t="s">
        <v>31</v>
      </c>
      <c r="C24" s="203" t="s">
        <v>29</v>
      </c>
      <c r="D24" s="4"/>
      <c r="E24" s="4"/>
      <c r="F24" s="4"/>
    </row>
    <row r="25" spans="1:6" ht="25.5" x14ac:dyDescent="0.2">
      <c r="A25" s="202" t="s">
        <v>32</v>
      </c>
      <c r="B25" s="202" t="s">
        <v>379</v>
      </c>
      <c r="C25" s="203" t="s">
        <v>29</v>
      </c>
      <c r="D25" s="4"/>
      <c r="E25" s="4"/>
      <c r="F25" s="4"/>
    </row>
    <row r="26" spans="1:6" x14ac:dyDescent="0.2">
      <c r="A26" s="4"/>
      <c r="B26" s="4"/>
      <c r="C26" s="4"/>
      <c r="D26" s="4"/>
      <c r="E26" s="4"/>
      <c r="F26" s="4"/>
    </row>
    <row r="27" spans="1:6" x14ac:dyDescent="0.2">
      <c r="A27" s="4"/>
      <c r="B27" s="4"/>
      <c r="C27" s="4"/>
      <c r="D27" s="4"/>
      <c r="E27" s="4"/>
      <c r="F27" s="4"/>
    </row>
    <row r="28" spans="1:6" x14ac:dyDescent="0.2">
      <c r="A28" s="4"/>
      <c r="B28" s="4"/>
      <c r="C28" s="4"/>
      <c r="D28" s="4"/>
      <c r="E28" s="4"/>
      <c r="F28" s="4"/>
    </row>
    <row r="29" spans="1:6" x14ac:dyDescent="0.2">
      <c r="A29" s="4"/>
      <c r="B29" s="4"/>
      <c r="C29" s="4"/>
      <c r="D29" s="4"/>
      <c r="E29" s="4"/>
      <c r="F29" s="4"/>
    </row>
    <row r="30" spans="1:6" x14ac:dyDescent="0.2">
      <c r="A30" s="4"/>
      <c r="B30" s="4"/>
      <c r="C30" s="4"/>
      <c r="D30" s="4"/>
      <c r="E30" s="4"/>
      <c r="F30" s="4"/>
    </row>
    <row r="31" spans="1:6" x14ac:dyDescent="0.2">
      <c r="A31" s="4"/>
      <c r="B31" s="4"/>
      <c r="C31" s="4"/>
      <c r="D31" s="4"/>
      <c r="E31" s="4"/>
      <c r="F31" s="4"/>
    </row>
    <row r="32" spans="1:6" x14ac:dyDescent="0.2">
      <c r="A32" s="4"/>
      <c r="B32" s="4"/>
      <c r="C32" s="4"/>
      <c r="D32" s="4"/>
      <c r="E32" s="4"/>
      <c r="F32" s="4"/>
    </row>
    <row r="33" spans="1:6" x14ac:dyDescent="0.2">
      <c r="A33" s="4"/>
      <c r="B33" s="4"/>
      <c r="C33" s="4"/>
      <c r="D33" s="4"/>
      <c r="E33" s="4"/>
      <c r="F33" s="4"/>
    </row>
    <row r="34" spans="1:6" x14ac:dyDescent="0.2">
      <c r="A34" s="4"/>
      <c r="B34" s="4"/>
      <c r="C34" s="4"/>
      <c r="D34" s="4"/>
      <c r="E34" s="4"/>
      <c r="F34" s="4"/>
    </row>
    <row r="35" spans="1:6" x14ac:dyDescent="0.2">
      <c r="A35" s="4"/>
      <c r="B35" s="4"/>
      <c r="C35" s="4"/>
      <c r="D35" s="4"/>
      <c r="E35" s="4"/>
      <c r="F35" s="4"/>
    </row>
    <row r="36" spans="1:6" x14ac:dyDescent="0.2">
      <c r="A36" s="4"/>
      <c r="B36" s="4"/>
      <c r="C36" s="4"/>
      <c r="D36" s="4"/>
      <c r="E36" s="4"/>
      <c r="F36" s="4"/>
    </row>
    <row r="37" spans="1:6" x14ac:dyDescent="0.2">
      <c r="F37" s="4"/>
    </row>
  </sheetData>
  <sheetProtection sheet="1" objects="1" scenarios="1" formatCells="0" formatColumns="0" formatRows="0"/>
  <mergeCells count="4">
    <mergeCell ref="A3:C3"/>
    <mergeCell ref="A8:C8"/>
    <mergeCell ref="A20:C20"/>
    <mergeCell ref="A15:C1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92D050"/>
  </sheetPr>
  <dimension ref="A1:FG83"/>
  <sheetViews>
    <sheetView zoomScale="84" zoomScaleNormal="84" workbookViewId="0">
      <selection activeCell="C4" sqref="C4"/>
    </sheetView>
  </sheetViews>
  <sheetFormatPr defaultColWidth="8.85546875" defaultRowHeight="12.75" x14ac:dyDescent="0.25"/>
  <cols>
    <col min="1" max="1" width="4.5703125" style="17" customWidth="1"/>
    <col min="2" max="2" width="5.140625" style="14" customWidth="1"/>
    <col min="3" max="3" width="28" style="17" customWidth="1"/>
    <col min="4" max="4" width="16.85546875" style="14" bestFit="1" customWidth="1"/>
    <col min="5" max="5" width="19.85546875" style="17" bestFit="1" customWidth="1"/>
    <col min="6" max="6" width="24.140625" style="17" customWidth="1"/>
    <col min="7" max="7" width="27.42578125" style="17" customWidth="1"/>
    <col min="8" max="8" width="19.85546875" style="17" bestFit="1" customWidth="1"/>
    <col min="9" max="9" width="18.140625" style="17" customWidth="1"/>
    <col min="10" max="10" width="3.85546875" style="17" customWidth="1"/>
    <col min="11" max="11" width="28.5703125" style="17" customWidth="1"/>
    <col min="12" max="12" width="19" style="17" customWidth="1"/>
    <col min="13" max="13" width="16.5703125" style="17" customWidth="1"/>
    <col min="14" max="14" width="24.85546875" style="17" customWidth="1"/>
    <col min="15" max="15" width="25.5703125" style="17" customWidth="1"/>
    <col min="16" max="16" width="19.140625" style="17" customWidth="1"/>
    <col min="17" max="17" width="17" style="17" customWidth="1"/>
    <col min="18" max="18" width="3.140625" style="17" customWidth="1"/>
    <col min="19" max="19" width="26.5703125" style="17" customWidth="1"/>
    <col min="20" max="20" width="16.85546875" style="17" customWidth="1"/>
    <col min="21" max="21" width="18.85546875" style="17" customWidth="1"/>
    <col min="22" max="22" width="22.140625" style="17" customWidth="1"/>
    <col min="23" max="23" width="25.85546875" style="17" bestFit="1" customWidth="1"/>
    <col min="24" max="27" width="20.42578125" style="17" customWidth="1"/>
    <col min="28" max="29" width="18.85546875" style="17" customWidth="1"/>
    <col min="30" max="30" width="28.42578125" style="3" customWidth="1"/>
    <col min="31" max="31" width="26.85546875" style="3" customWidth="1"/>
    <col min="32" max="32" width="15.140625" style="3" customWidth="1"/>
    <col min="33" max="33" width="17.85546875" style="3" customWidth="1"/>
    <col min="34" max="34" width="22.42578125" style="3" customWidth="1"/>
    <col min="35" max="35" width="21.85546875" style="3" customWidth="1"/>
    <col min="36" max="36" width="17.42578125" style="3" customWidth="1"/>
    <col min="37" max="37" width="14.5703125" style="17" customWidth="1"/>
    <col min="38" max="38" width="17.140625" style="17" customWidth="1"/>
    <col min="39" max="39" width="16" style="17" customWidth="1"/>
    <col min="40" max="40" width="24.140625" style="17" customWidth="1"/>
    <col min="41" max="41" width="15.5703125" style="17" customWidth="1"/>
    <col min="42" max="42" width="14.140625" style="17" customWidth="1"/>
    <col min="43" max="44" width="8.85546875" style="17"/>
    <col min="45" max="45" width="18.42578125" style="17" customWidth="1"/>
    <col min="46" max="46" width="15" style="17" customWidth="1"/>
    <col min="47" max="47" width="21.42578125" style="17" customWidth="1"/>
    <col min="48" max="48" width="15.42578125" style="17" customWidth="1"/>
    <col min="49" max="49" width="16.5703125" style="17" customWidth="1"/>
    <col min="50" max="51" width="8.85546875" style="17"/>
    <col min="52" max="52" width="17.85546875" style="17" customWidth="1"/>
    <col min="53" max="53" width="14.42578125" style="17" customWidth="1"/>
    <col min="54" max="54" width="18.5703125" style="17" customWidth="1"/>
    <col min="55" max="55" width="13.5703125" style="17" customWidth="1"/>
    <col min="56" max="56" width="15.140625" style="17" customWidth="1"/>
    <col min="57" max="58" width="8.85546875" style="17"/>
    <col min="59" max="59" width="16.140625" style="17" customWidth="1"/>
    <col min="60" max="60" width="12" style="17" customWidth="1"/>
    <col min="61" max="61" width="18" style="17" customWidth="1"/>
    <col min="62" max="62" width="16.140625" style="17" customWidth="1"/>
    <col min="63" max="63" width="14.140625" style="17" customWidth="1"/>
    <col min="64" max="64" width="10.140625" style="17" customWidth="1"/>
    <col min="65" max="16384" width="8.85546875" style="17"/>
  </cols>
  <sheetData>
    <row r="1" spans="1:163" ht="13.5" thickBot="1" x14ac:dyDescent="0.3">
      <c r="J1" s="19"/>
      <c r="K1" s="19"/>
      <c r="L1" s="19"/>
      <c r="AD1" s="17"/>
      <c r="AE1" s="17"/>
      <c r="AF1" s="17"/>
      <c r="AG1" s="17"/>
      <c r="AH1" s="17"/>
      <c r="AI1" s="17"/>
      <c r="AJ1" s="17"/>
    </row>
    <row r="2" spans="1:163" s="19" customFormat="1" ht="27.75" thickBot="1" x14ac:dyDescent="0.25">
      <c r="B2" s="26"/>
      <c r="C2" s="75" t="s">
        <v>43</v>
      </c>
      <c r="D2" s="420" t="s">
        <v>44</v>
      </c>
      <c r="E2" s="421"/>
      <c r="F2" s="427" t="s">
        <v>45</v>
      </c>
      <c r="G2" s="428"/>
      <c r="H2" s="18" t="s">
        <v>46</v>
      </c>
      <c r="L2" s="93"/>
    </row>
    <row r="3" spans="1:163" s="19" customFormat="1" ht="25.5" x14ac:dyDescent="0.2">
      <c r="B3" s="26"/>
      <c r="C3" s="76" t="s">
        <v>47</v>
      </c>
      <c r="D3" s="412" t="s">
        <v>48</v>
      </c>
      <c r="E3" s="426"/>
      <c r="F3" s="77" t="s">
        <v>49</v>
      </c>
      <c r="G3" s="78" t="s">
        <v>50</v>
      </c>
      <c r="H3" s="79" t="s">
        <v>51</v>
      </c>
      <c r="L3" s="93"/>
    </row>
    <row r="4" spans="1:163" s="19" customFormat="1" ht="30.75" customHeight="1" x14ac:dyDescent="0.2">
      <c r="B4" s="26"/>
      <c r="C4" s="23" t="s">
        <v>149</v>
      </c>
      <c r="D4" s="424" t="str">
        <f>_xlfn.XLOOKUP($C$4,Inhalation_Exp[OES],Inhalation_Exp[Data Type])</f>
        <v>Modeled Data</v>
      </c>
      <c r="E4" s="425"/>
      <c r="F4" s="80">
        <v>5</v>
      </c>
      <c r="G4" s="81">
        <v>20</v>
      </c>
      <c r="H4" s="82" t="s">
        <v>52</v>
      </c>
      <c r="L4" s="93"/>
    </row>
    <row r="5" spans="1:163" s="19" customFormat="1" x14ac:dyDescent="0.25">
      <c r="B5" s="26"/>
      <c r="C5" s="30"/>
      <c r="D5" s="30"/>
      <c r="E5" s="30"/>
      <c r="H5" s="21"/>
      <c r="I5" s="83"/>
      <c r="L5" s="30"/>
    </row>
    <row r="6" spans="1:163" ht="13.5" x14ac:dyDescent="0.25">
      <c r="A6" s="19"/>
      <c r="C6" s="20" t="s">
        <v>53</v>
      </c>
      <c r="D6" s="26"/>
      <c r="E6" s="21"/>
      <c r="F6" s="21"/>
      <c r="G6" s="21"/>
      <c r="H6" s="21"/>
      <c r="I6" s="21"/>
      <c r="K6" s="20" t="s">
        <v>46</v>
      </c>
      <c r="M6" s="19"/>
      <c r="N6" s="19"/>
      <c r="O6" s="21"/>
      <c r="P6" s="21"/>
      <c r="R6" s="19"/>
      <c r="S6" s="20" t="s">
        <v>54</v>
      </c>
      <c r="T6" s="26"/>
      <c r="U6" s="21"/>
      <c r="V6" s="21"/>
      <c r="W6" s="21"/>
      <c r="X6" s="21"/>
      <c r="Y6" s="19"/>
      <c r="Z6" s="19"/>
      <c r="AA6" s="19"/>
      <c r="AB6" s="19"/>
      <c r="AD6" s="17"/>
      <c r="AE6" s="17"/>
      <c r="AF6" s="17"/>
      <c r="AG6" s="17"/>
      <c r="AH6" s="17"/>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row>
    <row r="7" spans="1:163" ht="13.5" thickBot="1" x14ac:dyDescent="0.3">
      <c r="A7" s="19"/>
      <c r="C7" s="22" t="s">
        <v>55</v>
      </c>
      <c r="G7" s="84"/>
      <c r="H7" s="373"/>
      <c r="I7" s="85"/>
      <c r="K7" s="22" t="s">
        <v>55</v>
      </c>
      <c r="N7" s="15"/>
      <c r="O7" s="21"/>
      <c r="P7" s="21"/>
      <c r="S7" s="22" t="s">
        <v>55</v>
      </c>
      <c r="T7" s="14"/>
      <c r="V7" s="84"/>
      <c r="W7" s="84"/>
      <c r="X7" s="85"/>
      <c r="AD7" s="17"/>
      <c r="AE7" s="17"/>
      <c r="AF7" s="17"/>
      <c r="AG7" s="17"/>
      <c r="AH7" s="17"/>
      <c r="AI7" s="19"/>
      <c r="AJ7" s="19"/>
      <c r="AK7" s="19"/>
      <c r="AL7" s="19"/>
      <c r="AM7" s="19"/>
      <c r="AN7" s="19"/>
      <c r="AO7" s="19"/>
      <c r="AP7" s="19"/>
      <c r="AQ7" s="19"/>
      <c r="AR7" s="19"/>
      <c r="AS7" s="19"/>
      <c r="AT7" s="19"/>
      <c r="AU7" s="19"/>
      <c r="AV7" s="19"/>
      <c r="AW7" s="19"/>
      <c r="AX7" s="19"/>
      <c r="AY7" s="19"/>
      <c r="AZ7" s="19"/>
      <c r="BA7" s="19"/>
      <c r="BB7" s="19"/>
      <c r="BC7" s="19"/>
      <c r="BD7" s="19"/>
      <c r="BE7" s="19"/>
      <c r="BF7" s="19"/>
      <c r="BG7" s="19"/>
      <c r="BH7" s="19"/>
      <c r="BI7" s="19"/>
      <c r="BJ7" s="19"/>
      <c r="BK7" s="19"/>
      <c r="BL7" s="19"/>
      <c r="BM7" s="19"/>
      <c r="BN7" s="19"/>
      <c r="BO7" s="19"/>
      <c r="BP7" s="19"/>
      <c r="BQ7" s="19"/>
    </row>
    <row r="8" spans="1:163" ht="25.5" customHeight="1" x14ac:dyDescent="0.25">
      <c r="A8" s="19"/>
      <c r="C8" s="429" t="s">
        <v>56</v>
      </c>
      <c r="D8" s="403" t="s">
        <v>57</v>
      </c>
      <c r="E8" s="293" t="s">
        <v>58</v>
      </c>
      <c r="F8" s="293" t="s">
        <v>59</v>
      </c>
      <c r="G8" s="335" t="s">
        <v>60</v>
      </c>
      <c r="H8" s="343"/>
      <c r="I8" s="29"/>
      <c r="K8" s="431" t="s">
        <v>56</v>
      </c>
      <c r="L8" s="433" t="s">
        <v>57</v>
      </c>
      <c r="M8" s="293" t="s">
        <v>58</v>
      </c>
      <c r="N8" s="293" t="s">
        <v>59</v>
      </c>
      <c r="O8" s="335" t="s">
        <v>60</v>
      </c>
      <c r="P8" s="343"/>
      <c r="S8" s="429" t="s">
        <v>56</v>
      </c>
      <c r="T8" s="403" t="s">
        <v>57</v>
      </c>
      <c r="U8" s="293" t="s">
        <v>58</v>
      </c>
      <c r="V8" s="293" t="s">
        <v>61</v>
      </c>
      <c r="W8" s="335" t="s">
        <v>60</v>
      </c>
      <c r="X8" s="343"/>
      <c r="Y8" s="29"/>
      <c r="Z8" s="29"/>
      <c r="AA8" s="29"/>
      <c r="AB8" s="29"/>
      <c r="AC8" s="29"/>
      <c r="AD8" s="17"/>
      <c r="AE8" s="17"/>
      <c r="AF8" s="17"/>
      <c r="AG8" s="17"/>
      <c r="AH8" s="17"/>
      <c r="AI8" s="17"/>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row>
    <row r="9" spans="1:163" ht="27.75" customHeight="1" thickBot="1" x14ac:dyDescent="0.3">
      <c r="A9" s="19"/>
      <c r="C9" s="430"/>
      <c r="D9" s="418"/>
      <c r="E9" s="25" t="s">
        <v>62</v>
      </c>
      <c r="F9" s="25" t="s">
        <v>63</v>
      </c>
      <c r="G9" s="371" t="s">
        <v>64</v>
      </c>
      <c r="H9" s="377"/>
      <c r="I9" s="29"/>
      <c r="K9" s="432"/>
      <c r="L9" s="434"/>
      <c r="M9" s="294" t="s">
        <v>62</v>
      </c>
      <c r="N9" s="294" t="s">
        <v>63</v>
      </c>
      <c r="O9" s="336" t="s">
        <v>65</v>
      </c>
      <c r="P9" s="343"/>
      <c r="S9" s="430"/>
      <c r="T9" s="418"/>
      <c r="U9" s="294" t="s">
        <v>66</v>
      </c>
      <c r="V9" s="294" t="s">
        <v>63</v>
      </c>
      <c r="W9" s="336" t="s">
        <v>64</v>
      </c>
      <c r="X9" s="343"/>
      <c r="Y9" s="29"/>
      <c r="Z9" s="29"/>
      <c r="AA9" s="29"/>
      <c r="AB9" s="29"/>
      <c r="AC9" s="29"/>
      <c r="AD9" s="17"/>
      <c r="AE9" s="17"/>
      <c r="AF9" s="17"/>
      <c r="AG9" s="17"/>
      <c r="AH9" s="17"/>
      <c r="AI9" s="17"/>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row>
    <row r="10" spans="1:163" ht="15" customHeight="1" thickBot="1" x14ac:dyDescent="0.3">
      <c r="A10" s="19"/>
      <c r="C10" s="435" t="str">
        <f>$H$4</f>
        <v>Average Adult Worker</v>
      </c>
      <c r="D10" s="278" t="s">
        <v>67</v>
      </c>
      <c r="E10" s="281">
        <f>SUMIFS(Inhalation_Exp[24hr_High-End],Inhalation_Exp[OES],$C$4,Inhalation_Exp[Worker Type],$C10,Inhalation_Exp[Data Type],$D$4)</f>
        <v>0.625</v>
      </c>
      <c r="F10" s="226">
        <f>SUMIFS(Inhalation_Exp[Int_High-End],Inhalation_Exp[OES],$C$4,Inhalation_Exp[Worker Type],$C10,Inhalation_Exp[Data Type],$D$4)</f>
        <v>0.45833333333333331</v>
      </c>
      <c r="G10" s="340">
        <f>SUMIFS(Inhalation_Exp[ADD_High-End],Inhalation_Exp[OES],$C$4,Inhalation_Exp[Worker Type],$C10,Inhalation_Exp[Data Type],$D$4)</f>
        <v>0.42808219178082191</v>
      </c>
      <c r="H10" s="344"/>
      <c r="I10" s="52"/>
      <c r="K10" s="435" t="str">
        <f>$H$4</f>
        <v>Average Adult Worker</v>
      </c>
      <c r="L10" s="227" t="s">
        <v>67</v>
      </c>
      <c r="M10" s="226">
        <f>SUMIFS(Dermal_Exp[High-End AD (mg/kg-day)],Dermal_Exp[Worker Type],Dashboard!$K$10,Dermal_Exp[OES],Dashboard!$C$4)</f>
        <v>4.5129999999999997E-3</v>
      </c>
      <c r="N10" s="226">
        <f>SUMIFS(Dermal_Exp[High-End IADD (mg/kg-day)],Dermal_Exp[Worker Type],Dashboard!$K$10,Dermal_Exp[OES],Dashboard!$C$4)</f>
        <v>3.3095333333333326E-3</v>
      </c>
      <c r="O10" s="340">
        <f>SUMIFS(Dermal_Exp[High-End ADD (mg/kg-day)],Dermal_Exp[Worker Type],Dashboard!$K$10,Dermal_Exp[OES],Dashboard!$C$4)</f>
        <v>3.0910958904109588E-3</v>
      </c>
      <c r="P10" s="344"/>
      <c r="S10" s="435" t="str">
        <f>$H$4</f>
        <v>Average Adult Worker</v>
      </c>
      <c r="T10" s="227" t="s">
        <v>67</v>
      </c>
      <c r="U10" s="216">
        <f>E10+M10</f>
        <v>0.62951299999999999</v>
      </c>
      <c r="V10" s="216">
        <f t="shared" ref="V10:W13" si="0">F10+N10</f>
        <v>0.46164286666666665</v>
      </c>
      <c r="W10" s="338">
        <f t="shared" si="0"/>
        <v>0.43117328767123286</v>
      </c>
      <c r="X10" s="344"/>
      <c r="Y10" s="52"/>
      <c r="Z10" s="52"/>
      <c r="AA10" s="52"/>
      <c r="AB10" s="52"/>
      <c r="AC10" s="52"/>
      <c r="AD10" s="17"/>
      <c r="AE10" s="17"/>
      <c r="AF10" s="17"/>
      <c r="AG10" s="17"/>
      <c r="AH10" s="17"/>
      <c r="AI10" s="17"/>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row>
    <row r="11" spans="1:163" ht="15.75" customHeight="1" thickBot="1" x14ac:dyDescent="0.3">
      <c r="A11" s="19"/>
      <c r="C11" s="436"/>
      <c r="D11" s="279" t="s">
        <v>68</v>
      </c>
      <c r="E11" s="283">
        <f>SUMIFS(Inhalation_Exp[24hr_Central Tendency],Inhalation_Exp[OES],$C$4,Inhalation_Exp[Worker Type],$C10,Inhalation_Exp[Data Type],$D$4)</f>
        <v>0.06</v>
      </c>
      <c r="F11" s="255">
        <f>SUMIFS(Inhalation_Exp[Int_Central Tendency],Inhalation_Exp[OES],$C$4,Inhalation_Exp[Worker Type],$C10,Inhalation_Exp[Data Type],$D$4)</f>
        <v>4.3999999999999997E-2</v>
      </c>
      <c r="G11" s="372">
        <f>SUMIFS(Inhalation_Exp[ADD_Central Tendency],Inhalation_Exp[OES],$C$4,Inhalation_Exp[Worker Type],$C10,Inhalation_Exp[Data Type],$D$4)</f>
        <v>4.1095890410958902E-2</v>
      </c>
      <c r="H11" s="344"/>
      <c r="I11" s="52"/>
      <c r="K11" s="436"/>
      <c r="L11" s="229" t="s">
        <v>68</v>
      </c>
      <c r="M11" s="226">
        <f>SUMIFS(Dermal_Exp[Central Tendency AD (mg/kg-day)],Dermal_Exp[Worker Type],Dashboard!$K$10,Dermal_Exp[OES],Dashboard!$C$4)</f>
        <v>2.2560000000000002E-3</v>
      </c>
      <c r="N11" s="226">
        <f>SUMIFS(Dermal_Exp[Central Tendency IADD (mg/kg-day)],Dermal_Exp[Worker Type],Dashboard!$K$10,Dermal_Exp[OES],Dashboard!$C$4)</f>
        <v>1.6544000000000001E-3</v>
      </c>
      <c r="O11" s="340">
        <f>SUMIFS(Dermal_Exp[Central Tendency ADD (mg/kg-day)],Dermal_Exp[Worker Type],Dashboard!$K$10,Dermal_Exp[OES],Dashboard!$C$4)</f>
        <v>1.5452054794520549E-3</v>
      </c>
      <c r="P11" s="344"/>
      <c r="S11" s="436"/>
      <c r="T11" s="229" t="s">
        <v>68</v>
      </c>
      <c r="U11" s="216">
        <f t="shared" ref="U11:U13" si="1">E11+M11</f>
        <v>6.2255999999999999E-2</v>
      </c>
      <c r="V11" s="216">
        <f t="shared" si="0"/>
        <v>4.5654399999999998E-2</v>
      </c>
      <c r="W11" s="338">
        <f t="shared" si="0"/>
        <v>4.2641095890410957E-2</v>
      </c>
      <c r="X11" s="344"/>
      <c r="Y11" s="52"/>
      <c r="Z11" s="52"/>
      <c r="AA11" s="52"/>
      <c r="AB11" s="52"/>
      <c r="AC11" s="52"/>
      <c r="AD11" s="17"/>
      <c r="AE11" s="17"/>
      <c r="AF11" s="17"/>
      <c r="AG11" s="17"/>
      <c r="AH11" s="17"/>
      <c r="AI11" s="17"/>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row>
    <row r="12" spans="1:163" ht="15" customHeight="1" thickBot="1" x14ac:dyDescent="0.3">
      <c r="A12" s="19"/>
      <c r="C12" s="439" t="s">
        <v>69</v>
      </c>
      <c r="D12" s="280" t="s">
        <v>67</v>
      </c>
      <c r="E12" s="284">
        <f>SUMIFS(Inhalation_Exp[24hr_High-End],Inhalation_Exp[OES],$C$4,Inhalation_Exp[Worker Type],$C12,Inhalation_Exp[Data Type],$D$4)</f>
        <v>0.06</v>
      </c>
      <c r="F12" s="216">
        <f>SUMIFS(Inhalation_Exp[Int_High-End],Inhalation_Exp[OES],$C$4,Inhalation_Exp[Worker Type],$C12,Inhalation_Exp[Data Type],$D$4)</f>
        <v>4.3999999999999997E-2</v>
      </c>
      <c r="G12" s="338">
        <f>SUMIFS(Inhalation_Exp[ADD_High-End],Inhalation_Exp[OES],$C$4,Inhalation_Exp[Worker Type],$C12,Inhalation_Exp[Data Type],$D$4)</f>
        <v>4.1095890410958902E-2</v>
      </c>
      <c r="H12" s="344"/>
      <c r="I12" s="52"/>
      <c r="K12" s="439" t="s">
        <v>69</v>
      </c>
      <c r="L12" s="231" t="s">
        <v>67</v>
      </c>
      <c r="M12" s="226">
        <f>SUMIFS(Dermal_Exp[High-End AD (mg/kg-day)],Dermal_Exp[Worker Type],Dashboard!$K$12,Dermal_Exp[OES],Dashboard!$C$4)</f>
        <v>1.12885E-3</v>
      </c>
      <c r="N12" s="226">
        <f>SUMIFS(Dermal_Exp[High-End IADD (mg/kg-day)],Dermal_Exp[Worker Type],Dashboard!$K$12,Dermal_Exp[OES],Dashboard!$C$4)</f>
        <v>8.2782333333333337E-4</v>
      </c>
      <c r="O12" s="340">
        <f>SUMIFS(Dermal_Exp[High-End ADD (mg/kg-day)],Dermal_Exp[Worker Type],Dashboard!$K$12,Dermal_Exp[OES],Dashboard!$C$4)</f>
        <v>7.7318493150684941E-4</v>
      </c>
      <c r="P12" s="344"/>
      <c r="S12" s="439" t="s">
        <v>69</v>
      </c>
      <c r="T12" s="231" t="s">
        <v>67</v>
      </c>
      <c r="U12" s="216">
        <f t="shared" si="1"/>
        <v>6.1128849999999998E-2</v>
      </c>
      <c r="V12" s="216">
        <f t="shared" si="0"/>
        <v>4.4827823333333329E-2</v>
      </c>
      <c r="W12" s="338">
        <f t="shared" si="0"/>
        <v>4.1869075342465749E-2</v>
      </c>
      <c r="X12" s="344"/>
      <c r="Y12" s="52"/>
      <c r="Z12" s="52"/>
      <c r="AA12" s="52"/>
      <c r="AB12" s="52"/>
      <c r="AC12" s="52"/>
      <c r="AD12" s="17"/>
      <c r="AE12" s="17"/>
      <c r="AF12" s="17"/>
      <c r="AG12" s="17"/>
      <c r="AH12" s="17"/>
      <c r="AI12" s="17"/>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row>
    <row r="13" spans="1:163" ht="15.75" customHeight="1" thickBot="1" x14ac:dyDescent="0.3">
      <c r="A13" s="19"/>
      <c r="C13" s="440"/>
      <c r="D13" s="280" t="s">
        <v>68</v>
      </c>
      <c r="E13" s="282">
        <f>SUMIFS(Inhalation_Exp[24hr_Central Tendency],Inhalation_Exp[OES],$C$4,Inhalation_Exp[Worker Type],$C12,Inhalation_Exp[Data Type],$D$4)</f>
        <v>0.06</v>
      </c>
      <c r="F13" s="217">
        <f>SUMIFS(Inhalation_Exp[Int_Central Tendency],Inhalation_Exp[OES],$C$4,Inhalation_Exp[Worker Type],$C12,Inhalation_Exp[Data Type],$D$4)</f>
        <v>4.3999999999999997E-2</v>
      </c>
      <c r="G13" s="339">
        <f>SUMIFS(Inhalation_Exp[ADD_Central Tendency],Inhalation_Exp[OES],$C$4,Inhalation_Exp[Worker Type],$C12,Inhalation_Exp[Data Type],$D$4)</f>
        <v>4.1095890410958902E-2</v>
      </c>
      <c r="H13" s="344"/>
      <c r="I13" s="52"/>
      <c r="K13" s="440"/>
      <c r="L13" s="231" t="s">
        <v>68</v>
      </c>
      <c r="M13" s="230">
        <f>SUMIFS(Dermal_Exp[Central Tendency AD (mg/kg-day)],Dermal_Exp[Worker Type],Dashboard!$K$12,Dermal_Exp[OES],Dashboard!$C$4)</f>
        <v>1.12885E-3</v>
      </c>
      <c r="N13" s="230">
        <f>SUMIFS(Dermal_Exp[Central Tendency IADD (mg/kg-day)],Dermal_Exp[Worker Type],Dashboard!$K$12,Dermal_Exp[OES],Dashboard!$C$4)</f>
        <v>8.2782333333333337E-4</v>
      </c>
      <c r="O13" s="341">
        <f>SUMIFS(Dermal_Exp[Central Tendency ADD (mg/kg-day)],Dermal_Exp[Worker Type],Dashboard!$K$12,Dermal_Exp[OES],Dashboard!$C$4)</f>
        <v>7.7318493150684941E-4</v>
      </c>
      <c r="P13" s="344"/>
      <c r="Q13" s="228"/>
      <c r="S13" s="440"/>
      <c r="T13" s="231" t="s">
        <v>68</v>
      </c>
      <c r="U13" s="216">
        <f t="shared" si="1"/>
        <v>6.1128849999999998E-2</v>
      </c>
      <c r="V13" s="216">
        <f t="shared" si="0"/>
        <v>4.4827823333333329E-2</v>
      </c>
      <c r="W13" s="338">
        <f t="shared" si="0"/>
        <v>4.1869075342465749E-2</v>
      </c>
      <c r="X13" s="344"/>
      <c r="Y13" s="52"/>
      <c r="Z13" s="52"/>
      <c r="AA13" s="52"/>
      <c r="AB13" s="52"/>
      <c r="AC13" s="52"/>
      <c r="AD13" s="17"/>
      <c r="AE13" s="17"/>
      <c r="AF13" s="17"/>
      <c r="AG13" s="17"/>
      <c r="AH13" s="17"/>
      <c r="AI13" s="17"/>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c r="BN13" s="19"/>
      <c r="BO13" s="19"/>
      <c r="BP13" s="19"/>
      <c r="BQ13" s="19"/>
      <c r="BR13" s="19"/>
    </row>
    <row r="14" spans="1:163" s="3" customFormat="1" x14ac:dyDescent="0.25">
      <c r="A14" s="19"/>
      <c r="B14" s="17"/>
      <c r="C14" s="31"/>
      <c r="D14" s="31"/>
      <c r="F14" s="29"/>
      <c r="G14" s="29"/>
      <c r="H14" s="29"/>
      <c r="I14" s="83"/>
      <c r="J14" s="17"/>
      <c r="K14" s="14"/>
      <c r="L14" s="14"/>
      <c r="M14" s="53"/>
      <c r="N14" s="53"/>
      <c r="O14" s="53"/>
      <c r="P14" s="53"/>
      <c r="Q14" s="53"/>
      <c r="R14" s="19"/>
      <c r="S14" s="19"/>
      <c r="T14" s="19"/>
      <c r="U14" s="19"/>
      <c r="V14" s="19"/>
      <c r="W14" s="19"/>
      <c r="X14" s="19"/>
      <c r="Y14" s="19"/>
      <c r="Z14" s="19"/>
      <c r="AA14" s="19"/>
      <c r="AB14" s="19"/>
      <c r="AC14" s="17"/>
      <c r="AD14" s="17"/>
      <c r="AE14" s="17"/>
      <c r="AF14" s="17"/>
      <c r="AG14" s="17"/>
      <c r="AH14" s="17"/>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row>
    <row r="15" spans="1:163" s="26" customFormat="1" ht="30" customHeight="1" thickBot="1" x14ac:dyDescent="0.3">
      <c r="A15" s="19"/>
      <c r="C15" s="32" t="s">
        <v>70</v>
      </c>
      <c r="D15" s="30"/>
      <c r="E15" s="21"/>
      <c r="F15" s="19"/>
      <c r="G15" s="30"/>
      <c r="H15" s="19"/>
      <c r="I15" s="19"/>
      <c r="J15" s="19"/>
      <c r="K15" s="414" t="s">
        <v>71</v>
      </c>
      <c r="L15" s="414"/>
      <c r="M15" s="414"/>
      <c r="N15" s="415"/>
      <c r="O15" s="19"/>
      <c r="P15" s="19"/>
      <c r="Q15" s="19"/>
      <c r="R15" s="17"/>
      <c r="S15" s="414" t="s">
        <v>72</v>
      </c>
      <c r="T15" s="414"/>
      <c r="U15" s="414"/>
      <c r="V15" s="415"/>
      <c r="W15" s="19"/>
      <c r="X15" s="19"/>
      <c r="Y15" s="19"/>
      <c r="Z15" s="19"/>
      <c r="AA15" s="19"/>
      <c r="AB15" s="19"/>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9"/>
      <c r="BN15" s="19"/>
      <c r="BO15" s="19"/>
      <c r="BP15" s="19"/>
      <c r="BQ15" s="17"/>
      <c r="BR15" s="17"/>
      <c r="BS15" s="17"/>
      <c r="BT15" s="17"/>
      <c r="BU15" s="17"/>
      <c r="BV15" s="17"/>
      <c r="BW15" s="17"/>
      <c r="BX15" s="17"/>
      <c r="BY15" s="17"/>
    </row>
    <row r="16" spans="1:163" s="26" customFormat="1" ht="51.6" customHeight="1" x14ac:dyDescent="0.25">
      <c r="A16" s="19"/>
      <c r="C16" s="437" t="s">
        <v>73</v>
      </c>
      <c r="D16" s="411" t="s">
        <v>74</v>
      </c>
      <c r="E16" s="405" t="s">
        <v>57</v>
      </c>
      <c r="F16" s="412" t="s">
        <v>75</v>
      </c>
      <c r="G16" s="411" t="s">
        <v>76</v>
      </c>
      <c r="H16" s="411"/>
      <c r="I16" s="54" t="str">
        <f>_xlfn.CONCAT("Respirator Scenario: APF of ",$F$4)</f>
        <v>Respirator Scenario: APF of 5</v>
      </c>
      <c r="J16" s="29"/>
      <c r="K16" s="437" t="s">
        <v>73</v>
      </c>
      <c r="L16" s="411" t="s">
        <v>74</v>
      </c>
      <c r="M16" s="405" t="s">
        <v>57</v>
      </c>
      <c r="N16" s="412" t="s">
        <v>75</v>
      </c>
      <c r="O16" s="412" t="s">
        <v>76</v>
      </c>
      <c r="P16" s="413"/>
      <c r="Q16" s="54" t="s">
        <v>77</v>
      </c>
      <c r="R16" s="17"/>
      <c r="S16" s="401" t="s">
        <v>73</v>
      </c>
      <c r="T16" s="403" t="s">
        <v>74</v>
      </c>
      <c r="U16" s="405" t="s">
        <v>57</v>
      </c>
      <c r="V16" s="403" t="s">
        <v>75</v>
      </c>
      <c r="W16" s="411" t="s">
        <v>76</v>
      </c>
      <c r="X16" s="411"/>
      <c r="Y16" s="55" t="str">
        <f>_xlfn.CONCAT("Respirator-Only Scenario: APF of ",$F$4)</f>
        <v>Respirator-Only Scenario: APF of 5</v>
      </c>
      <c r="Z16" s="56" t="str">
        <f>_xlfn.CONCAT("Gloved-only Scenario: PF of ",$G$4)</f>
        <v>Gloved-only Scenario: PF of 20</v>
      </c>
      <c r="AA16" s="57" t="s">
        <v>78</v>
      </c>
      <c r="AB16" s="29"/>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row>
    <row r="17" spans="1:77" s="26" customFormat="1" ht="30" customHeight="1" x14ac:dyDescent="0.25">
      <c r="A17" s="19"/>
      <c r="C17" s="438"/>
      <c r="D17" s="423"/>
      <c r="E17" s="419"/>
      <c r="F17" s="422"/>
      <c r="G17" s="294" t="s">
        <v>79</v>
      </c>
      <c r="H17" s="294" t="s">
        <v>80</v>
      </c>
      <c r="I17" s="27" t="s">
        <v>79</v>
      </c>
      <c r="J17" s="29"/>
      <c r="K17" s="438"/>
      <c r="L17" s="423"/>
      <c r="M17" s="419"/>
      <c r="N17" s="422"/>
      <c r="O17" s="294" t="s">
        <v>81</v>
      </c>
      <c r="P17" s="294" t="s">
        <v>82</v>
      </c>
      <c r="Q17" s="58" t="str">
        <f>_xlfn.CONCAT("Worker MOE with Gloves: ",$G$4)</f>
        <v>Worker MOE with Gloves: 20</v>
      </c>
      <c r="R17" s="17"/>
      <c r="S17" s="417"/>
      <c r="T17" s="418"/>
      <c r="U17" s="419"/>
      <c r="V17" s="418"/>
      <c r="W17" s="294" t="s">
        <v>79</v>
      </c>
      <c r="X17" s="294" t="s">
        <v>80</v>
      </c>
      <c r="Y17" s="294" t="s">
        <v>79</v>
      </c>
      <c r="Z17" s="294" t="s">
        <v>79</v>
      </c>
      <c r="AA17" s="27" t="s">
        <v>79</v>
      </c>
      <c r="AB17" s="29"/>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row>
    <row r="18" spans="1:77" s="26" customFormat="1" ht="34.5" customHeight="1" x14ac:dyDescent="0.25">
      <c r="A18" s="19"/>
      <c r="B18" s="26" t="s">
        <v>83</v>
      </c>
      <c r="C18" s="407" t="str">
        <f>_xlfn.CONCAT(_xlfn.XLOOKUP($B18,Tox_Table[Code],Tox_Table[Health Effect],"",0,1),"
",_xlfn.XLOOKUP($B18,Tox_Table[Code],Tox_Table[Endpoint],"",0,1),"
",_xlfn.XLOOKUP($B18,Tox_Table[Code],Tox_Table[Study],"",0,1))</f>
        <v xml:space="preserve">Phthalate syndrome-related effects
</v>
      </c>
      <c r="D18" s="441">
        <f>_xlfn.XLOOKUP($B18, Tox_Table[Code],Tox_Table[HED / POD (mg/kg/day)], FALSE)</f>
        <v>2.4</v>
      </c>
      <c r="E18" s="44" t="s">
        <v>67</v>
      </c>
      <c r="F18" s="298">
        <f>_xlfn.XLOOKUP($B18,Tox_Table[Code],Tox_Table[Benchmark MOE])</f>
        <v>30</v>
      </c>
      <c r="G18" s="59">
        <f>IFERROR(D18/$E$10, "")</f>
        <v>3.84</v>
      </c>
      <c r="H18" s="45">
        <f>IFERROR(D18/$E$12, "")</f>
        <v>40</v>
      </c>
      <c r="I18" s="60">
        <f>IFERROR(G18*$F$4,"")</f>
        <v>19.2</v>
      </c>
      <c r="J18" s="29"/>
      <c r="K18" s="407" t="str">
        <f>_xlfn.CONCAT(_xlfn.XLOOKUP($B18,Tox_Table[Code],Tox_Table[Health Effect],"",0,1),"
",_xlfn.XLOOKUP($B18,Tox_Table[Code],Tox_Table[Endpoint],"",0,1),"
",_xlfn.XLOOKUP($B18,Tox_Table[Code],Tox_Table[Study],"",0,1))</f>
        <v xml:space="preserve">Phthalate syndrome-related effects
</v>
      </c>
      <c r="L18" s="441">
        <f>_xlfn.XLOOKUP($B18, Tox_Table[Code],Tox_Table[HED / POD (mg/kg/day)], FALSE)</f>
        <v>2.4</v>
      </c>
      <c r="M18" s="44" t="s">
        <v>67</v>
      </c>
      <c r="N18" s="298">
        <f>_xlfn.XLOOKUP($B18,Tox_Table[Code],Tox_Table[Benchmark MOE])</f>
        <v>30</v>
      </c>
      <c r="O18" s="238">
        <f>IFERROR(L18/$M$10, "")</f>
        <v>531.79703079991134</v>
      </c>
      <c r="P18" s="238">
        <f>IFERROR(L18/$M$12, "")</f>
        <v>2126.0574921380166</v>
      </c>
      <c r="Q18" s="60">
        <f>IFERROR(L18/($M$10/$G$4), "")</f>
        <v>10635.940615998228</v>
      </c>
      <c r="R18" s="17"/>
      <c r="S18" s="397" t="str">
        <f>_xlfn.CONCAT(_xlfn.XLOOKUP($B18,Tox_Table[Code],Tox_Table[Health Effect],"",0,1),"
",_xlfn.XLOOKUP($B18,Tox_Table[Code],Tox_Table[Endpoint],"",0,1),"
",_xlfn.XLOOKUP($B18,Tox_Table[Code],Tox_Table[Study],"",0,1))</f>
        <v xml:space="preserve">Phthalate syndrome-related effects
</v>
      </c>
      <c r="T18" s="399">
        <f>_xlfn.XLOOKUP($B18, Tox_Table[Code],Tox_Table[HED / POD (mg/kg/day)], FALSE)</f>
        <v>2.4</v>
      </c>
      <c r="U18" s="44" t="s">
        <v>67</v>
      </c>
      <c r="V18" s="298">
        <f>_xlfn.XLOOKUP($B18,Tox_Table[Code],Tox_Table[Benchmark MOE])</f>
        <v>30</v>
      </c>
      <c r="W18" s="59">
        <f>IFERROR(T18/$U$10, "")</f>
        <v>3.8124709100526912</v>
      </c>
      <c r="X18" s="45">
        <f>IFERROR(T18/$U$12, "")</f>
        <v>39.261330779165647</v>
      </c>
      <c r="Y18" s="45">
        <f>IFERROR($T18/((E$10/$F$4)+M$10),"")</f>
        <v>18.530958282180169</v>
      </c>
      <c r="Z18" s="45">
        <f>IFERROR(T18/((E$10)+M$10/$G$4),"")</f>
        <v>3.8386141067628943</v>
      </c>
      <c r="AA18" s="46">
        <f>IFERROR(T18/((E$10/$F$4)+M$10/$G$4),"")</f>
        <v>19.165402615199042</v>
      </c>
      <c r="AB18" s="29"/>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row>
    <row r="19" spans="1:77" s="26" customFormat="1" ht="34.5" customHeight="1" x14ac:dyDescent="0.25">
      <c r="A19" s="19"/>
      <c r="B19" s="26" t="s">
        <v>83</v>
      </c>
      <c r="C19" s="408"/>
      <c r="D19" s="410"/>
      <c r="E19" s="40" t="s">
        <v>68</v>
      </c>
      <c r="F19" s="297">
        <f>_xlfn.XLOOKUP($B19,Tox_Table[Code],Tox_Table[Benchmark MOE])</f>
        <v>30</v>
      </c>
      <c r="G19" s="61">
        <f>IFERROR(D18/$E$11, "")</f>
        <v>40</v>
      </c>
      <c r="H19" s="215">
        <f>IFERROR(D18/$E$13, "")</f>
        <v>40</v>
      </c>
      <c r="I19" s="62">
        <f>IFERROR(G19*$F$4,"")</f>
        <v>200</v>
      </c>
      <c r="J19" s="29"/>
      <c r="K19" s="408"/>
      <c r="L19" s="410"/>
      <c r="M19" s="40" t="s">
        <v>68</v>
      </c>
      <c r="N19" s="297">
        <f>_xlfn.XLOOKUP($B19,Tox_Table[Code],Tox_Table[Benchmark MOE])</f>
        <v>30</v>
      </c>
      <c r="O19" s="239">
        <f>IFERROR(L18/$M$11, "")</f>
        <v>1063.8297872340424</v>
      </c>
      <c r="P19" s="239">
        <f>IFERROR(L18/$M$13, "")</f>
        <v>2126.0574921380166</v>
      </c>
      <c r="Q19" s="62">
        <f>IFERROR(L18/($M$11/$G$4), "")</f>
        <v>21276.59574468085</v>
      </c>
      <c r="R19" s="17"/>
      <c r="S19" s="398"/>
      <c r="T19" s="400"/>
      <c r="U19" s="40" t="s">
        <v>68</v>
      </c>
      <c r="V19" s="297">
        <f>_xlfn.XLOOKUP($B19,Tox_Table[Code],Tox_Table[Benchmark MOE])</f>
        <v>30</v>
      </c>
      <c r="W19" s="63">
        <f>IFERROR(T18/$U$11, "")</f>
        <v>38.550501156515033</v>
      </c>
      <c r="X19" s="41">
        <f>IFERROR(T18/$U$13, "")</f>
        <v>39.261330779165647</v>
      </c>
      <c r="Y19" s="41">
        <f>IFERROR(T18/((E11/$F$4)+M11),"")</f>
        <v>168.35016835016833</v>
      </c>
      <c r="Z19" s="41">
        <f>IFERROR(T18/((E11)+M11/$G$4),"")</f>
        <v>39.924941110711856</v>
      </c>
      <c r="AA19" s="42">
        <f>IFERROR(T18/((E11/$F$4)+M11/$G$4),"")</f>
        <v>198.13750743015652</v>
      </c>
      <c r="AB19" s="29"/>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row>
    <row r="20" spans="1:77" s="26" customFormat="1" ht="30" customHeight="1" thickBot="1" x14ac:dyDescent="0.3">
      <c r="A20" s="19"/>
      <c r="C20" s="32" t="s">
        <v>84</v>
      </c>
      <c r="D20" s="30"/>
      <c r="E20" s="21"/>
      <c r="F20" s="19"/>
      <c r="G20" s="30"/>
      <c r="H20" s="19"/>
      <c r="I20" s="19"/>
      <c r="J20" s="19"/>
      <c r="K20" s="414" t="s">
        <v>85</v>
      </c>
      <c r="L20" s="414"/>
      <c r="M20" s="414"/>
      <c r="N20" s="415"/>
      <c r="O20" s="21"/>
      <c r="P20" s="21"/>
      <c r="Q20" s="19"/>
      <c r="R20" s="17"/>
      <c r="S20" s="414" t="s">
        <v>86</v>
      </c>
      <c r="T20" s="414"/>
      <c r="U20" s="414"/>
      <c r="V20" s="415"/>
      <c r="W20" s="19"/>
      <c r="X20" s="19"/>
      <c r="Y20" s="19"/>
      <c r="Z20" s="19"/>
      <c r="AA20" s="19"/>
      <c r="AB20" s="29"/>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row>
    <row r="21" spans="1:77" s="26" customFormat="1" ht="30" customHeight="1" x14ac:dyDescent="0.25">
      <c r="A21" s="19"/>
      <c r="C21" s="437" t="s">
        <v>73</v>
      </c>
      <c r="D21" s="411" t="s">
        <v>74</v>
      </c>
      <c r="E21" s="405" t="s">
        <v>57</v>
      </c>
      <c r="F21" s="412" t="s">
        <v>75</v>
      </c>
      <c r="G21" s="411" t="s">
        <v>87</v>
      </c>
      <c r="H21" s="411"/>
      <c r="I21" s="54" t="str">
        <f>_xlfn.CONCAT("Respirator Scenario: APF of ",$F$4)</f>
        <v>Respirator Scenario: APF of 5</v>
      </c>
      <c r="J21" s="29"/>
      <c r="K21" s="437" t="s">
        <v>73</v>
      </c>
      <c r="L21" s="411" t="s">
        <v>74</v>
      </c>
      <c r="M21" s="405" t="s">
        <v>57</v>
      </c>
      <c r="N21" s="412" t="s">
        <v>75</v>
      </c>
      <c r="O21" s="412" t="s">
        <v>87</v>
      </c>
      <c r="P21" s="413"/>
      <c r="Q21" s="54" t="s">
        <v>77</v>
      </c>
      <c r="R21" s="17"/>
      <c r="S21" s="401" t="s">
        <v>73</v>
      </c>
      <c r="T21" s="403" t="s">
        <v>74</v>
      </c>
      <c r="U21" s="405" t="s">
        <v>57</v>
      </c>
      <c r="V21" s="403" t="s">
        <v>75</v>
      </c>
      <c r="W21" s="411" t="s">
        <v>87</v>
      </c>
      <c r="X21" s="411"/>
      <c r="Y21" s="55" t="str">
        <f>_xlfn.CONCAT("Respirator-Only Scenario: APF of ",$F$4)</f>
        <v>Respirator-Only Scenario: APF of 5</v>
      </c>
      <c r="Z21" s="56" t="str">
        <f>_xlfn.CONCAT("Gloved-only Scenario: PF of ",$G$4)</f>
        <v>Gloved-only Scenario: PF of 20</v>
      </c>
      <c r="AA21" s="57" t="s">
        <v>78</v>
      </c>
      <c r="AB21" s="29"/>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row>
    <row r="22" spans="1:77" s="26" customFormat="1" ht="30" customHeight="1" thickBot="1" x14ac:dyDescent="0.3">
      <c r="A22" s="19"/>
      <c r="C22" s="438"/>
      <c r="D22" s="416"/>
      <c r="E22" s="419"/>
      <c r="F22" s="422"/>
      <c r="G22" s="294" t="s">
        <v>79</v>
      </c>
      <c r="H22" s="294" t="s">
        <v>80</v>
      </c>
      <c r="I22" s="27" t="s">
        <v>79</v>
      </c>
      <c r="J22" s="29"/>
      <c r="K22" s="438"/>
      <c r="L22" s="416"/>
      <c r="M22" s="419"/>
      <c r="N22" s="422"/>
      <c r="O22" s="294" t="s">
        <v>81</v>
      </c>
      <c r="P22" s="294" t="s">
        <v>82</v>
      </c>
      <c r="Q22" s="58" t="str">
        <f>_xlfn.CONCAT("Worker MOE with Gloves: ",$G$4)</f>
        <v>Worker MOE with Gloves: 20</v>
      </c>
      <c r="R22" s="17"/>
      <c r="S22" s="417"/>
      <c r="T22" s="418"/>
      <c r="U22" s="419"/>
      <c r="V22" s="418"/>
      <c r="W22" s="294" t="s">
        <v>79</v>
      </c>
      <c r="X22" s="294" t="s">
        <v>80</v>
      </c>
      <c r="Y22" s="294" t="s">
        <v>79</v>
      </c>
      <c r="Z22" s="294" t="s">
        <v>79</v>
      </c>
      <c r="AA22" s="27" t="s">
        <v>79</v>
      </c>
      <c r="AB22" s="29"/>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row>
    <row r="23" spans="1:77" s="26" customFormat="1" ht="34.5" customHeight="1" x14ac:dyDescent="0.25">
      <c r="A23" s="19"/>
      <c r="B23" s="30" t="s">
        <v>88</v>
      </c>
      <c r="C23" s="407" t="str">
        <f>_xlfn.CONCAT(_xlfn.XLOOKUP($B23,Tox_Table[Code],Tox_Table[Health Effect],"",0,1),"
",_xlfn.XLOOKUP($B23,Tox_Table[Code],Tox_Table[Endpoint],"",0,1),"
",_xlfn.XLOOKUP($B23,Tox_Table[Code],Tox_Table[Study],"",0,1))</f>
        <v xml:space="preserve">Phthalate syndrome-related effects
</v>
      </c>
      <c r="D23" s="409">
        <f>_xlfn.XLOOKUP($B23, Tox_Table[Code],Tox_Table[HED / POD (mg/kg/day)], FALSE)</f>
        <v>2.4</v>
      </c>
      <c r="E23" s="44" t="s">
        <v>67</v>
      </c>
      <c r="F23" s="298">
        <f>_xlfn.XLOOKUP($B23,Tox_Table[Code],Tox_Table[Benchmark MOE])</f>
        <v>30</v>
      </c>
      <c r="G23" s="308">
        <f>IFERROR(D23/$F$10, "")</f>
        <v>5.2363636363636363</v>
      </c>
      <c r="H23" s="45">
        <f>IFERROR(D23/$F$12, "")</f>
        <v>54.545454545454547</v>
      </c>
      <c r="I23" s="60">
        <f>IFERROR(G23*$F$4,"")</f>
        <v>26.18181818181818</v>
      </c>
      <c r="J23" s="29"/>
      <c r="K23" s="407" t="str">
        <f>_xlfn.CONCAT(_xlfn.XLOOKUP($B23,Tox_Table[Code],Tox_Table[Health Effect],"",0,1),"
",_xlfn.XLOOKUP($B23,Tox_Table[Code],Tox_Table[Endpoint],"",0,1),"
",_xlfn.XLOOKUP($B23,Tox_Table[Code],Tox_Table[Study],"",0,1))</f>
        <v xml:space="preserve">Phthalate syndrome-related effects
</v>
      </c>
      <c r="L23" s="409">
        <f>_xlfn.XLOOKUP($B23, Tox_Table[Code],Tox_Table[HED / POD (mg/kg/day)], FALSE)</f>
        <v>2.4</v>
      </c>
      <c r="M23" s="44" t="s">
        <v>67</v>
      </c>
      <c r="N23" s="298">
        <f>_xlfn.XLOOKUP($B23,Tox_Table[Code],Tox_Table[Benchmark MOE])</f>
        <v>30</v>
      </c>
      <c r="O23" s="238">
        <f>IFERROR(L23/$N$10, "")</f>
        <v>725.1777692726065</v>
      </c>
      <c r="P23" s="238">
        <f>IFERROR(L23/$N$12, "")</f>
        <v>2899.1693074609316</v>
      </c>
      <c r="Q23" s="240">
        <f>IFERROR(L23/($N$10/$G$4), "")</f>
        <v>14503.555385452131</v>
      </c>
      <c r="R23" s="17"/>
      <c r="S23" s="397" t="str">
        <f>_xlfn.CONCAT(_xlfn.XLOOKUP($B23,Tox_Table[Code],Tox_Table[Health Effect],"",0,1),"
",_xlfn.XLOOKUP($B23,Tox_Table[Code],Tox_Table[Endpoint],"",0,1),"
",_xlfn.XLOOKUP($B23,Tox_Table[Code],Tox_Table[Study],"",0,1))</f>
        <v xml:space="preserve">Phthalate syndrome-related effects
</v>
      </c>
      <c r="T23" s="399">
        <f>_xlfn.XLOOKUP($B23, Tox_Table[Code],Tox_Table[HED / POD (mg/kg/day)], FALSE)</f>
        <v>2.4</v>
      </c>
      <c r="U23" s="44" t="s">
        <v>67</v>
      </c>
      <c r="V23" s="298">
        <f>_xlfn.XLOOKUP($B23,Tox_Table[Code],Tox_Table[Benchmark MOE])</f>
        <v>30</v>
      </c>
      <c r="W23" s="59">
        <f>IFERROR(T23/$V$10, "")</f>
        <v>5.1988239682536701</v>
      </c>
      <c r="X23" s="45">
        <f>IFERROR(T23/$V$12, "")</f>
        <v>53.538178335225886</v>
      </c>
      <c r="Y23" s="45">
        <f>IFERROR(T23/((F$10/$F$4)+N$10),"")</f>
        <v>25.269488566609319</v>
      </c>
      <c r="Z23" s="45">
        <f>IFERROR(T23/((F$10)+N$10/$G$4),"")</f>
        <v>5.2344737819494016</v>
      </c>
      <c r="AA23" s="46">
        <f>IFERROR(T23/((F$10/$F$4)+N$10/$G$4),"")</f>
        <v>26.134639929816878</v>
      </c>
      <c r="AB23" s="29"/>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row>
    <row r="24" spans="1:77" s="26" customFormat="1" ht="34.5" customHeight="1" thickBot="1" x14ac:dyDescent="0.3">
      <c r="A24" s="19"/>
      <c r="B24" s="30" t="s">
        <v>88</v>
      </c>
      <c r="C24" s="408"/>
      <c r="D24" s="410"/>
      <c r="E24" s="40" t="s">
        <v>68</v>
      </c>
      <c r="F24" s="297">
        <f>_xlfn.XLOOKUP($B24,Tox_Table[Code],Tox_Table[Benchmark MOE])</f>
        <v>30</v>
      </c>
      <c r="G24" s="61">
        <f>IFERROR(D23/$F$11, "")</f>
        <v>54.545454545454547</v>
      </c>
      <c r="H24" s="215">
        <f>IFERROR(D23/$F$13, "")</f>
        <v>54.545454545454547</v>
      </c>
      <c r="I24" s="62">
        <f>IFERROR(G24*$F$4,"")</f>
        <v>272.72727272727275</v>
      </c>
      <c r="J24" s="29"/>
      <c r="K24" s="408"/>
      <c r="L24" s="410"/>
      <c r="M24" s="40" t="s">
        <v>68</v>
      </c>
      <c r="N24" s="297">
        <f>_xlfn.XLOOKUP($B24,Tox_Table[Code],Tox_Table[Benchmark MOE])</f>
        <v>30</v>
      </c>
      <c r="O24" s="239">
        <f>IFERROR(L23/$N$11, "")</f>
        <v>1450.6769825918761</v>
      </c>
      <c r="P24" s="239">
        <f>IFERROR(L23/$N$13, "")</f>
        <v>2899.1693074609316</v>
      </c>
      <c r="Q24" s="241">
        <f>IFERROR(L23/($N$11/$G$4), "")</f>
        <v>29013.53965183752</v>
      </c>
      <c r="R24" s="17"/>
      <c r="S24" s="398"/>
      <c r="T24" s="400"/>
      <c r="U24" s="40" t="s">
        <v>68</v>
      </c>
      <c r="V24" s="297">
        <f>_xlfn.XLOOKUP($B24,Tox_Table[Code],Tox_Table[Benchmark MOE])</f>
        <v>30</v>
      </c>
      <c r="W24" s="63">
        <f>IFERROR(T23/$V$11, "")</f>
        <v>52.568865213429596</v>
      </c>
      <c r="X24" s="41">
        <f>IFERROR(T23/$V$13, "")</f>
        <v>53.538178335225886</v>
      </c>
      <c r="Y24" s="41">
        <f>IFERROR(T23/((F$11/$F$4)+N$11),"")</f>
        <v>229.56841138659323</v>
      </c>
      <c r="Z24" s="41">
        <f>IFERROR(T23/((F$11)+N$11/$G$4),"")</f>
        <v>54.443101514607086</v>
      </c>
      <c r="AA24" s="42">
        <f>IFERROR(T23/((F$11/$F$4)+N$11/$G$4),"")</f>
        <v>270.18751013203166</v>
      </c>
      <c r="AB24" s="29"/>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row>
    <row r="25" spans="1:77" s="26" customFormat="1" ht="30" customHeight="1" thickBot="1" x14ac:dyDescent="0.3">
      <c r="A25" s="19"/>
      <c r="B25" s="30"/>
      <c r="C25" s="33" t="s">
        <v>89</v>
      </c>
      <c r="D25" s="33"/>
      <c r="E25" s="64"/>
      <c r="F25" s="86"/>
      <c r="G25" s="87"/>
      <c r="H25" s="88"/>
      <c r="I25" s="88"/>
      <c r="J25" s="31"/>
      <c r="K25" s="33" t="s">
        <v>90</v>
      </c>
      <c r="L25" s="33"/>
      <c r="M25" s="33"/>
      <c r="N25" s="88"/>
      <c r="O25" s="31"/>
      <c r="P25" s="31"/>
      <c r="Q25" s="32"/>
      <c r="R25" s="19"/>
      <c r="S25" s="33" t="s">
        <v>91</v>
      </c>
      <c r="T25" s="33"/>
      <c r="U25" s="33"/>
      <c r="V25" s="88"/>
      <c r="W25" s="87"/>
      <c r="X25" s="88"/>
      <c r="Y25" s="88"/>
      <c r="Z25" s="32"/>
      <c r="AA25" s="31"/>
      <c r="AB25" s="31"/>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7"/>
      <c r="BN25" s="17"/>
      <c r="BO25" s="17"/>
      <c r="BP25" s="17"/>
      <c r="BQ25" s="17"/>
      <c r="BR25" s="17"/>
      <c r="BS25" s="17"/>
      <c r="BT25" s="17"/>
      <c r="BU25" s="17"/>
      <c r="BV25" s="17"/>
      <c r="BW25" s="17"/>
      <c r="BX25" s="17"/>
      <c r="BY25" s="17"/>
    </row>
    <row r="26" spans="1:77" s="26" customFormat="1" ht="35.25" customHeight="1" x14ac:dyDescent="0.25">
      <c r="A26" s="19"/>
      <c r="B26" s="30"/>
      <c r="C26" s="437" t="s">
        <v>73</v>
      </c>
      <c r="D26" s="411" t="s">
        <v>74</v>
      </c>
      <c r="E26" s="405" t="s">
        <v>57</v>
      </c>
      <c r="F26" s="412" t="s">
        <v>75</v>
      </c>
      <c r="G26" s="411" t="s">
        <v>92</v>
      </c>
      <c r="H26" s="411"/>
      <c r="I26" s="54" t="str">
        <f>_xlfn.CONCAT("Respirator Scenario: APF of ",$F$4)</f>
        <v>Respirator Scenario: APF of 5</v>
      </c>
      <c r="J26" s="29"/>
      <c r="K26" s="437" t="s">
        <v>73</v>
      </c>
      <c r="L26" s="411" t="s">
        <v>93</v>
      </c>
      <c r="M26" s="405" t="s">
        <v>57</v>
      </c>
      <c r="N26" s="412" t="s">
        <v>75</v>
      </c>
      <c r="O26" s="412" t="s">
        <v>92</v>
      </c>
      <c r="P26" s="413"/>
      <c r="Q26" s="54" t="s">
        <v>77</v>
      </c>
      <c r="R26" s="17"/>
      <c r="S26" s="401" t="s">
        <v>73</v>
      </c>
      <c r="T26" s="403" t="s">
        <v>93</v>
      </c>
      <c r="U26" s="405" t="s">
        <v>57</v>
      </c>
      <c r="V26" s="403" t="s">
        <v>75</v>
      </c>
      <c r="W26" s="411" t="s">
        <v>92</v>
      </c>
      <c r="X26" s="411"/>
      <c r="Y26" s="55" t="str">
        <f>_xlfn.CONCAT("Respirator-Only Scenario: APF of ",$F$4)</f>
        <v>Respirator-Only Scenario: APF of 5</v>
      </c>
      <c r="Z26" s="56" t="str">
        <f>_xlfn.CONCAT("Gloved-only Scenario: PF of ",$G$4)</f>
        <v>Gloved-only Scenario: PF of 20</v>
      </c>
      <c r="AA26" s="57" t="s">
        <v>78</v>
      </c>
      <c r="AB26" s="29"/>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row>
    <row r="27" spans="1:77" s="26" customFormat="1" ht="30" customHeight="1" thickBot="1" x14ac:dyDescent="0.3">
      <c r="A27" s="19"/>
      <c r="B27" s="30"/>
      <c r="C27" s="438"/>
      <c r="D27" s="416"/>
      <c r="E27" s="419"/>
      <c r="F27" s="422"/>
      <c r="G27" s="294" t="s">
        <v>79</v>
      </c>
      <c r="H27" s="294" t="s">
        <v>80</v>
      </c>
      <c r="I27" s="27" t="s">
        <v>79</v>
      </c>
      <c r="J27" s="29"/>
      <c r="K27" s="438"/>
      <c r="L27" s="416"/>
      <c r="M27" s="419"/>
      <c r="N27" s="422"/>
      <c r="O27" s="294" t="s">
        <v>81</v>
      </c>
      <c r="P27" s="294" t="s">
        <v>82</v>
      </c>
      <c r="Q27" s="58" t="str">
        <f>_xlfn.CONCAT("Worker MOE with Gloves: ",$G$4)</f>
        <v>Worker MOE with Gloves: 20</v>
      </c>
      <c r="R27" s="17"/>
      <c r="S27" s="402"/>
      <c r="T27" s="404"/>
      <c r="U27" s="406"/>
      <c r="V27" s="404"/>
      <c r="W27" s="294" t="s">
        <v>79</v>
      </c>
      <c r="X27" s="294" t="s">
        <v>80</v>
      </c>
      <c r="Y27" s="294" t="s">
        <v>79</v>
      </c>
      <c r="Z27" s="294" t="s">
        <v>79</v>
      </c>
      <c r="AA27" s="27" t="s">
        <v>79</v>
      </c>
      <c r="AB27" s="29"/>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row>
    <row r="28" spans="1:77" s="19" customFormat="1" ht="37.5" customHeight="1" x14ac:dyDescent="0.25">
      <c r="B28" s="14" t="s">
        <v>94</v>
      </c>
      <c r="C28" s="407" t="str">
        <f>_xlfn.CONCAT(_xlfn.XLOOKUP($B28,Tox_Table[Code],Tox_Table[Health Effect],"",0,1),"
",_xlfn.XLOOKUP($B28,Tox_Table[Code],Tox_Table[Endpoint],"",0,1),"
",_xlfn.XLOOKUP($B28,Tox_Table[Code],Tox_Table[Study],"",0,1))</f>
        <v xml:space="preserve">Phthalate syndrome-related effects
</v>
      </c>
      <c r="D28" s="409">
        <f>_xlfn.XLOOKUP($B28, Tox_Table[Code],Tox_Table[HED / POD (mg/kg/day)], FALSE)</f>
        <v>2.4</v>
      </c>
      <c r="E28" s="44" t="s">
        <v>67</v>
      </c>
      <c r="F28" s="298">
        <f>_xlfn.XLOOKUP($B28,Tox_Table[Code],Tox_Table[Benchmark MOE])</f>
        <v>30</v>
      </c>
      <c r="G28" s="65">
        <f>IFERROR(D28/$G$10, "")</f>
        <v>5.6063999999999998</v>
      </c>
      <c r="H28" s="65">
        <f>IFERROR(D28/$G$12, "")</f>
        <v>58.4</v>
      </c>
      <c r="I28" s="66">
        <f>IFERROR(G28*$F$4,"")</f>
        <v>28.032</v>
      </c>
      <c r="K28" s="397" t="str">
        <f>_xlfn.CONCAT(_xlfn.XLOOKUP($B28,Tox_Table[Code],Tox_Table[Health Effect],"",0,1),"
",_xlfn.XLOOKUP($B28,Tox_Table[Code],Tox_Table[Endpoint],"",0,1),"
",_xlfn.XLOOKUP($B28,Tox_Table[Code],Tox_Table[Study],"",0,1))</f>
        <v xml:space="preserve">Phthalate syndrome-related effects
</v>
      </c>
      <c r="L28" s="399">
        <f>_xlfn.XLOOKUP($B28, Tox_Table[Code],Tox_Table[HED / POD (mg/kg/day)], FALSE)</f>
        <v>2.4</v>
      </c>
      <c r="M28" s="44" t="s">
        <v>67</v>
      </c>
      <c r="N28" s="298">
        <f>_xlfn.XLOOKUP($B28,Tox_Table[Code],Tox_Table[Benchmark MOE])</f>
        <v>30</v>
      </c>
      <c r="O28" s="238">
        <f>IFERROR(L28/$O$10, "")</f>
        <v>776.42366496787054</v>
      </c>
      <c r="P28" s="238">
        <f>IFERROR(L28/$O$12, "")</f>
        <v>3104.0439385215036</v>
      </c>
      <c r="Q28" s="60">
        <f>IFERROR(L28/($O$10/$G$4), "")</f>
        <v>15528.473299357413</v>
      </c>
      <c r="R28" s="17"/>
      <c r="S28" s="407" t="str">
        <f>_xlfn.CONCAT(_xlfn.XLOOKUP($B28,Tox_Table[Code],Tox_Table[Health Effect],"",0,1),"
",_xlfn.XLOOKUP($B28,Tox_Table[Code],Tox_Table[Endpoint],"",0,1),"
",_xlfn.XLOOKUP($B28,Tox_Table[Code],Tox_Table[Study],"",0,1))</f>
        <v xml:space="preserve">Phthalate syndrome-related effects
</v>
      </c>
      <c r="T28" s="409">
        <f>_xlfn.XLOOKUP($B28, Tox_Table[Code],Tox_Table[HED / POD (mg/kg/day)], FALSE)</f>
        <v>2.4</v>
      </c>
      <c r="U28" s="44" t="s">
        <v>67</v>
      </c>
      <c r="V28" s="298">
        <f>_xlfn.XLOOKUP($B28,Tox_Table[Code],Tox_Table[Benchmark MOE])</f>
        <v>30</v>
      </c>
      <c r="W28" s="65">
        <f>IFERROR(T28/$W$10, "")</f>
        <v>5.5662075286769293</v>
      </c>
      <c r="X28" s="65">
        <f>IFERROR(T28/$W$12, "")</f>
        <v>57.321542937581853</v>
      </c>
      <c r="Y28" s="45">
        <f>IFERROR(T28/((G$10/$F$4)+O$10),"")</f>
        <v>27.055199091983045</v>
      </c>
      <c r="Z28" s="45">
        <f>IFERROR(T28/((G$10)+O$10/$G$4),"")</f>
        <v>5.6043765958738261</v>
      </c>
      <c r="AA28" s="46">
        <f>IFERROR(T28/((G$10/$F$4)+O$10/$G$4),"")</f>
        <v>27.981487818190605</v>
      </c>
      <c r="AB28" s="6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row>
    <row r="29" spans="1:77" s="19" customFormat="1" ht="40.5" customHeight="1" thickBot="1" x14ac:dyDescent="0.3">
      <c r="B29" s="14" t="s">
        <v>94</v>
      </c>
      <c r="C29" s="408"/>
      <c r="D29" s="410"/>
      <c r="E29" s="40" t="s">
        <v>68</v>
      </c>
      <c r="F29" s="297">
        <f>_xlfn.XLOOKUP($B29,Tox_Table[Code],Tox_Table[Benchmark MOE])</f>
        <v>30</v>
      </c>
      <c r="G29" s="68">
        <f>IFERROR(D28/$G$11, "")</f>
        <v>58.4</v>
      </c>
      <c r="H29" s="68">
        <f>IFERROR(D28/$G$13, "")</f>
        <v>58.4</v>
      </c>
      <c r="I29" s="69">
        <f>IFERROR(G29*$F$4,"")</f>
        <v>292</v>
      </c>
      <c r="K29" s="398"/>
      <c r="L29" s="400"/>
      <c r="M29" s="40" t="s">
        <v>68</v>
      </c>
      <c r="N29" s="297">
        <f>_xlfn.XLOOKUP($B29,Tox_Table[Code],Tox_Table[Benchmark MOE])</f>
        <v>30</v>
      </c>
      <c r="O29" s="239">
        <f>IFERROR(L28/$O$11, "")</f>
        <v>1553.191489361702</v>
      </c>
      <c r="P29" s="239">
        <f>IFERROR(L28/$O$13, "")</f>
        <v>3104.0439385215036</v>
      </c>
      <c r="Q29" s="62">
        <f>IFERROR(L28/($O$11/$G$4), "")</f>
        <v>31063.829787234041</v>
      </c>
      <c r="R29" s="17"/>
      <c r="S29" s="408"/>
      <c r="T29" s="410"/>
      <c r="U29" s="40" t="s">
        <v>68</v>
      </c>
      <c r="V29" s="297">
        <f>_xlfn.XLOOKUP($B29,Tox_Table[Code],Tox_Table[Benchmark MOE])</f>
        <v>30</v>
      </c>
      <c r="W29" s="68">
        <f>IFERROR(T28/$W$11, "")</f>
        <v>56.283731688511949</v>
      </c>
      <c r="X29" s="68">
        <f>IFERROR(T28/$W$13, "")</f>
        <v>57.321542937581853</v>
      </c>
      <c r="Y29" s="41">
        <f>IFERROR(T28/((G$11/$F$4)+O$11),"")</f>
        <v>245.79124579124579</v>
      </c>
      <c r="Z29" s="41">
        <f>IFERROR(T28/((G$11)+O$11/$G$4),"")</f>
        <v>58.290414021639315</v>
      </c>
      <c r="AA29" s="42">
        <f>IFERROR(T28/((G$11/$F$4)+O$11/$G$4),"")</f>
        <v>289.28076084802854</v>
      </c>
      <c r="AB29" s="6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row>
    <row r="30" spans="1:77" x14ac:dyDescent="0.25">
      <c r="A30" s="26"/>
      <c r="B30" s="30"/>
      <c r="C30" s="30"/>
      <c r="D30" s="17"/>
      <c r="E30" s="70"/>
      <c r="F30" s="71"/>
      <c r="G30" s="72"/>
      <c r="H30" s="73"/>
      <c r="I30" s="19"/>
      <c r="J30" s="19"/>
      <c r="K30" s="30"/>
      <c r="L30" s="30"/>
      <c r="M30" s="30"/>
      <c r="N30" s="70"/>
      <c r="S30" s="30"/>
      <c r="T30" s="30"/>
      <c r="U30" s="30"/>
      <c r="V30" s="70"/>
      <c r="W30" s="72"/>
      <c r="X30" s="73"/>
      <c r="Y30" s="19"/>
      <c r="AA30" s="19"/>
      <c r="AB30" s="19"/>
      <c r="AD30" s="17"/>
      <c r="AE30" s="17"/>
      <c r="AF30" s="17"/>
      <c r="AG30" s="17"/>
      <c r="AH30" s="17"/>
      <c r="AI30" s="17"/>
      <c r="AJ30" s="17"/>
    </row>
    <row r="31" spans="1:77" x14ac:dyDescent="0.25">
      <c r="A31" s="19"/>
      <c r="B31" s="30"/>
      <c r="Q31" s="19"/>
      <c r="AD31" s="17"/>
      <c r="AE31" s="17"/>
      <c r="AF31" s="17"/>
      <c r="AG31" s="17"/>
      <c r="AH31" s="17"/>
      <c r="AI31" s="17"/>
      <c r="AJ31" s="17"/>
    </row>
    <row r="32" spans="1:77" x14ac:dyDescent="0.25">
      <c r="A32" s="19"/>
      <c r="B32" s="30"/>
      <c r="O32" s="19"/>
      <c r="P32" s="19"/>
      <c r="Q32" s="19"/>
      <c r="AD32" s="17"/>
      <c r="AE32" s="17"/>
      <c r="AF32" s="17"/>
      <c r="AG32" s="17"/>
      <c r="AH32" s="17"/>
      <c r="AI32" s="17"/>
      <c r="AJ32" s="17"/>
    </row>
    <row r="33" spans="1:36" x14ac:dyDescent="0.25">
      <c r="A33" s="19"/>
      <c r="B33" s="26"/>
      <c r="Q33" s="19"/>
      <c r="AD33" s="17"/>
      <c r="AE33" s="17"/>
      <c r="AF33" s="17"/>
      <c r="AG33" s="17"/>
      <c r="AH33" s="17"/>
      <c r="AI33" s="17"/>
      <c r="AJ33" s="17"/>
    </row>
    <row r="34" spans="1:36" x14ac:dyDescent="0.25">
      <c r="A34" s="19"/>
      <c r="Q34" s="19"/>
      <c r="AD34" s="17"/>
      <c r="AE34" s="17"/>
      <c r="AF34" s="17"/>
      <c r="AG34" s="17"/>
      <c r="AH34" s="17"/>
      <c r="AI34" s="17"/>
      <c r="AJ34" s="17"/>
    </row>
    <row r="35" spans="1:36" x14ac:dyDescent="0.25">
      <c r="A35" s="19"/>
      <c r="AD35" s="17"/>
      <c r="AE35" s="17"/>
      <c r="AF35" s="17"/>
      <c r="AG35" s="17"/>
      <c r="AH35" s="17"/>
      <c r="AI35" s="17"/>
      <c r="AJ35" s="17"/>
    </row>
    <row r="36" spans="1:36" ht="35.25" customHeight="1" x14ac:dyDescent="0.25">
      <c r="A36" s="19"/>
      <c r="AD36" s="17"/>
      <c r="AE36" s="17"/>
      <c r="AF36" s="17"/>
      <c r="AG36" s="17"/>
      <c r="AH36" s="17"/>
      <c r="AI36" s="17"/>
      <c r="AJ36" s="17"/>
    </row>
    <row r="37" spans="1:36" x14ac:dyDescent="0.25">
      <c r="A37" s="19"/>
      <c r="AD37" s="17"/>
      <c r="AE37" s="17"/>
      <c r="AF37" s="17"/>
      <c r="AG37" s="17"/>
      <c r="AH37" s="17"/>
      <c r="AI37" s="17"/>
      <c r="AJ37" s="17"/>
    </row>
    <row r="38" spans="1:36" x14ac:dyDescent="0.25">
      <c r="AD38" s="17"/>
      <c r="AE38" s="17"/>
      <c r="AF38" s="17"/>
      <c r="AG38" s="17"/>
      <c r="AH38" s="17"/>
      <c r="AI38" s="17"/>
      <c r="AJ38" s="17"/>
    </row>
    <row r="39" spans="1:36" x14ac:dyDescent="0.25">
      <c r="H39" s="19"/>
      <c r="I39" s="19"/>
      <c r="J39" s="19"/>
      <c r="T39" s="19"/>
      <c r="U39" s="19"/>
      <c r="V39" s="19"/>
      <c r="W39" s="19"/>
      <c r="X39" s="19"/>
      <c r="Y39" s="19"/>
      <c r="Z39" s="19"/>
      <c r="AA39" s="19"/>
      <c r="AB39" s="19"/>
      <c r="AD39" s="17"/>
      <c r="AE39" s="17"/>
      <c r="AF39" s="17"/>
      <c r="AG39" s="17"/>
      <c r="AH39" s="17"/>
      <c r="AI39" s="17"/>
      <c r="AJ39" s="17"/>
    </row>
    <row r="40" spans="1:36" x14ac:dyDescent="0.25">
      <c r="AD40" s="17"/>
      <c r="AE40" s="17"/>
      <c r="AF40" s="17"/>
      <c r="AG40" s="17"/>
      <c r="AH40" s="17"/>
      <c r="AI40" s="17"/>
      <c r="AJ40" s="17"/>
    </row>
    <row r="41" spans="1:36" x14ac:dyDescent="0.25">
      <c r="AD41" s="17"/>
      <c r="AE41" s="17"/>
      <c r="AF41" s="17"/>
      <c r="AG41" s="17"/>
      <c r="AH41" s="17"/>
      <c r="AI41" s="17"/>
      <c r="AJ41" s="17"/>
    </row>
    <row r="42" spans="1:36" x14ac:dyDescent="0.25">
      <c r="AD42" s="17"/>
      <c r="AE42" s="17"/>
      <c r="AF42" s="17"/>
      <c r="AG42" s="17"/>
      <c r="AH42" s="17"/>
      <c r="AI42" s="17"/>
      <c r="AJ42" s="17"/>
    </row>
    <row r="43" spans="1:36" x14ac:dyDescent="0.25">
      <c r="AD43" s="17"/>
      <c r="AE43" s="17"/>
      <c r="AF43" s="17"/>
      <c r="AG43" s="17"/>
      <c r="AH43" s="17"/>
      <c r="AI43" s="17"/>
      <c r="AJ43" s="17"/>
    </row>
    <row r="44" spans="1:36" x14ac:dyDescent="0.25">
      <c r="AD44" s="17"/>
      <c r="AE44" s="17"/>
      <c r="AF44" s="17"/>
      <c r="AG44" s="17"/>
      <c r="AH44" s="17"/>
      <c r="AI44" s="17"/>
      <c r="AJ44" s="17"/>
    </row>
    <row r="45" spans="1:36" x14ac:dyDescent="0.25">
      <c r="G45" s="19"/>
      <c r="AD45" s="17"/>
      <c r="AE45" s="17"/>
      <c r="AF45" s="17"/>
      <c r="AG45" s="17"/>
      <c r="AH45" s="17"/>
      <c r="AI45" s="17"/>
      <c r="AJ45" s="17"/>
    </row>
    <row r="46" spans="1:36" x14ac:dyDescent="0.25">
      <c r="K46" s="19"/>
      <c r="L46" s="19"/>
      <c r="M46" s="19"/>
      <c r="N46" s="19"/>
      <c r="AD46" s="17"/>
      <c r="AE46" s="17"/>
      <c r="AF46" s="17"/>
      <c r="AG46" s="17"/>
      <c r="AH46" s="17"/>
      <c r="AI46" s="17"/>
      <c r="AJ46" s="17"/>
    </row>
    <row r="47" spans="1:36" x14ac:dyDescent="0.25">
      <c r="C47" s="19"/>
      <c r="D47" s="26"/>
      <c r="E47" s="19"/>
      <c r="F47" s="19"/>
      <c r="AD47" s="17"/>
      <c r="AE47" s="17"/>
      <c r="AF47" s="17"/>
      <c r="AG47" s="17"/>
      <c r="AH47" s="17"/>
      <c r="AI47" s="17"/>
      <c r="AJ47" s="17"/>
    </row>
    <row r="48" spans="1:36" x14ac:dyDescent="0.25">
      <c r="AD48" s="17"/>
      <c r="AE48" s="17"/>
      <c r="AF48" s="17"/>
      <c r="AG48" s="17"/>
      <c r="AH48" s="17"/>
      <c r="AI48" s="17"/>
      <c r="AJ48" s="17"/>
    </row>
    <row r="49" spans="1:36" x14ac:dyDescent="0.25">
      <c r="H49" s="48"/>
      <c r="I49" s="48"/>
      <c r="J49" s="48"/>
      <c r="T49" s="48"/>
      <c r="U49" s="48"/>
      <c r="V49" s="48"/>
      <c r="W49" s="48"/>
      <c r="X49" s="48"/>
      <c r="Y49" s="48"/>
      <c r="Z49" s="48"/>
      <c r="AA49" s="48"/>
      <c r="AB49" s="48"/>
      <c r="AD49" s="17"/>
      <c r="AE49" s="17"/>
      <c r="AF49" s="17"/>
      <c r="AG49" s="17"/>
      <c r="AH49" s="17"/>
      <c r="AI49" s="17"/>
      <c r="AJ49" s="17"/>
    </row>
    <row r="50" spans="1:36" x14ac:dyDescent="0.25">
      <c r="H50" s="48"/>
      <c r="I50" s="48"/>
      <c r="J50" s="48"/>
      <c r="O50" s="19"/>
      <c r="P50" s="19"/>
      <c r="T50" s="48"/>
      <c r="U50" s="48"/>
      <c r="V50" s="48"/>
      <c r="W50" s="48"/>
      <c r="X50" s="48"/>
      <c r="Y50" s="48"/>
      <c r="Z50" s="48"/>
      <c r="AA50" s="48"/>
      <c r="AB50" s="48"/>
      <c r="AD50" s="17"/>
      <c r="AE50" s="17"/>
      <c r="AF50" s="17"/>
      <c r="AG50" s="17"/>
      <c r="AH50" s="17"/>
      <c r="AI50" s="17"/>
      <c r="AJ50" s="17"/>
    </row>
    <row r="51" spans="1:36" x14ac:dyDescent="0.25">
      <c r="B51" s="26"/>
      <c r="H51" s="51"/>
      <c r="I51" s="51"/>
      <c r="J51" s="51"/>
      <c r="T51" s="51"/>
      <c r="U51" s="51"/>
      <c r="V51" s="51"/>
      <c r="W51" s="51"/>
      <c r="X51" s="51"/>
      <c r="Y51" s="51"/>
      <c r="Z51" s="51"/>
      <c r="AA51" s="51"/>
      <c r="AB51" s="51"/>
      <c r="AD51" s="17"/>
      <c r="AE51" s="17"/>
      <c r="AF51" s="17"/>
      <c r="AG51" s="17"/>
      <c r="AH51" s="17"/>
      <c r="AI51" s="17"/>
      <c r="AJ51" s="17"/>
    </row>
    <row r="52" spans="1:36" x14ac:dyDescent="0.25">
      <c r="B52" s="47"/>
      <c r="H52" s="51"/>
      <c r="I52" s="51"/>
      <c r="J52" s="51"/>
      <c r="Q52" s="19"/>
      <c r="T52" s="51"/>
      <c r="U52" s="51"/>
      <c r="V52" s="51"/>
      <c r="W52" s="51"/>
      <c r="X52" s="51"/>
      <c r="Y52" s="51"/>
      <c r="Z52" s="51"/>
      <c r="AA52" s="51"/>
      <c r="AB52" s="51"/>
      <c r="AD52" s="17"/>
      <c r="AE52" s="17"/>
      <c r="AF52" s="17"/>
      <c r="AG52" s="17"/>
      <c r="AH52" s="17"/>
      <c r="AI52" s="17"/>
      <c r="AJ52" s="17"/>
    </row>
    <row r="53" spans="1:36" x14ac:dyDescent="0.25">
      <c r="B53" s="47"/>
      <c r="AD53" s="17"/>
      <c r="AE53" s="17"/>
      <c r="AF53" s="17"/>
      <c r="AG53" s="17"/>
      <c r="AH53" s="17"/>
      <c r="AI53" s="17"/>
      <c r="AJ53" s="17"/>
    </row>
    <row r="54" spans="1:36" x14ac:dyDescent="0.25">
      <c r="B54" s="47"/>
      <c r="AD54" s="17"/>
      <c r="AE54" s="17"/>
      <c r="AF54" s="17"/>
      <c r="AG54" s="17"/>
      <c r="AH54" s="17"/>
      <c r="AI54" s="17"/>
      <c r="AJ54" s="17"/>
    </row>
    <row r="55" spans="1:36" x14ac:dyDescent="0.25">
      <c r="A55" s="19"/>
      <c r="B55" s="365"/>
      <c r="C55" s="342"/>
      <c r="D55" s="361"/>
      <c r="E55" s="342"/>
      <c r="F55" s="342"/>
      <c r="G55" s="48"/>
      <c r="AD55" s="17"/>
      <c r="AE55" s="17"/>
      <c r="AF55" s="17"/>
      <c r="AG55" s="17"/>
      <c r="AH55" s="17"/>
      <c r="AI55" s="17"/>
      <c r="AJ55" s="17"/>
    </row>
    <row r="56" spans="1:36" x14ac:dyDescent="0.25">
      <c r="B56" s="365"/>
      <c r="C56" s="366"/>
      <c r="D56" s="365"/>
      <c r="E56" s="366"/>
      <c r="F56" s="342"/>
      <c r="K56" s="51"/>
      <c r="L56" s="51"/>
      <c r="M56" s="51"/>
      <c r="N56" s="51"/>
      <c r="AD56" s="17"/>
      <c r="AE56" s="17"/>
      <c r="AF56" s="17"/>
      <c r="AG56" s="17"/>
      <c r="AH56" s="17"/>
      <c r="AI56" s="17"/>
      <c r="AJ56" s="17"/>
    </row>
    <row r="57" spans="1:36" x14ac:dyDescent="0.25">
      <c r="B57" s="365"/>
      <c r="C57" s="342"/>
      <c r="D57" s="361"/>
      <c r="E57" s="367"/>
      <c r="F57" s="368"/>
      <c r="K57" s="51"/>
      <c r="L57" s="51"/>
      <c r="M57" s="51"/>
      <c r="N57" s="51"/>
      <c r="AD57" s="17"/>
      <c r="AE57" s="17"/>
      <c r="AF57" s="17"/>
      <c r="AG57" s="17"/>
      <c r="AH57" s="17"/>
      <c r="AI57" s="17"/>
      <c r="AJ57" s="17"/>
    </row>
    <row r="58" spans="1:36" x14ac:dyDescent="0.25">
      <c r="B58" s="365"/>
      <c r="C58" s="342"/>
      <c r="D58" s="361"/>
      <c r="E58" s="342"/>
      <c r="F58" s="342"/>
      <c r="AD58" s="17"/>
      <c r="AE58" s="17"/>
      <c r="AF58" s="17"/>
      <c r="AG58" s="17"/>
      <c r="AH58" s="17"/>
      <c r="AI58" s="17"/>
      <c r="AJ58" s="17"/>
    </row>
    <row r="59" spans="1:36" x14ac:dyDescent="0.25">
      <c r="B59" s="365"/>
      <c r="C59" s="342"/>
      <c r="D59" s="361"/>
      <c r="E59" s="342"/>
      <c r="F59" s="342"/>
      <c r="K59" s="342"/>
      <c r="L59" s="342"/>
      <c r="M59" s="361"/>
      <c r="N59" s="342"/>
      <c r="O59" s="342"/>
      <c r="S59" s="342"/>
      <c r="T59" s="342"/>
      <c r="U59" s="342"/>
      <c r="V59" s="342"/>
      <c r="W59" s="342"/>
      <c r="AD59" s="17"/>
      <c r="AE59" s="17"/>
      <c r="AF59" s="17"/>
      <c r="AG59" s="17"/>
      <c r="AH59" s="17"/>
      <c r="AI59" s="17"/>
      <c r="AJ59" s="17"/>
    </row>
    <row r="60" spans="1:36" x14ac:dyDescent="0.25">
      <c r="B60" s="361"/>
      <c r="C60" s="361"/>
      <c r="D60" s="361"/>
      <c r="E60" s="369"/>
      <c r="F60" s="342"/>
      <c r="K60" s="342"/>
      <c r="L60" s="361"/>
      <c r="M60" s="361"/>
      <c r="N60" s="342"/>
      <c r="O60" s="342"/>
      <c r="S60" s="342"/>
      <c r="T60" s="342"/>
      <c r="U60" s="342"/>
      <c r="V60" s="342"/>
      <c r="W60" s="342"/>
      <c r="AD60" s="17"/>
      <c r="AE60" s="17"/>
      <c r="AF60" s="17"/>
      <c r="AG60" s="17"/>
      <c r="AH60" s="17"/>
      <c r="AI60" s="17"/>
      <c r="AJ60" s="17"/>
    </row>
    <row r="61" spans="1:36" x14ac:dyDescent="0.25">
      <c r="B61" s="361"/>
      <c r="C61" s="342"/>
      <c r="D61" s="362"/>
      <c r="E61" s="362"/>
      <c r="F61" s="342"/>
      <c r="K61" s="342"/>
      <c r="L61" s="362"/>
      <c r="M61" s="362"/>
      <c r="N61" s="342"/>
      <c r="O61" s="342"/>
      <c r="S61" s="342"/>
      <c r="T61" s="342"/>
      <c r="U61" s="342"/>
      <c r="V61" s="342"/>
      <c r="W61" s="342"/>
      <c r="AD61" s="17"/>
      <c r="AE61" s="17"/>
      <c r="AF61" s="17"/>
      <c r="AG61" s="17"/>
      <c r="AH61" s="17"/>
      <c r="AI61" s="17"/>
      <c r="AJ61" s="17"/>
    </row>
    <row r="62" spans="1:36" x14ac:dyDescent="0.25">
      <c r="B62" s="361"/>
      <c r="C62" s="342"/>
      <c r="D62" s="362"/>
      <c r="E62" s="362"/>
      <c r="F62" s="342"/>
      <c r="K62" s="342"/>
      <c r="L62" s="362"/>
      <c r="M62" s="362"/>
      <c r="N62" s="342"/>
      <c r="O62" s="342"/>
      <c r="S62" s="342"/>
      <c r="T62" s="342"/>
      <c r="U62" s="342"/>
      <c r="V62" s="342"/>
      <c r="W62" s="342"/>
      <c r="AD62" s="17"/>
      <c r="AE62" s="17"/>
      <c r="AF62" s="17"/>
      <c r="AG62" s="17"/>
      <c r="AH62" s="17"/>
      <c r="AI62" s="17"/>
      <c r="AJ62" s="17"/>
    </row>
    <row r="63" spans="1:36" ht="15" x14ac:dyDescent="0.25">
      <c r="B63" s="361"/>
      <c r="C63" s="357"/>
      <c r="D63" s="357"/>
      <c r="E63" s="370"/>
      <c r="F63" s="342"/>
      <c r="K63" s="361"/>
      <c r="L63" s="357"/>
      <c r="M63" s="357"/>
      <c r="N63" s="357"/>
      <c r="O63" s="342"/>
      <c r="S63" s="342"/>
      <c r="T63" s="357"/>
      <c r="U63" s="357"/>
      <c r="V63" s="357"/>
      <c r="W63" s="342"/>
      <c r="AD63" s="17"/>
      <c r="AE63" s="17"/>
      <c r="AF63" s="17"/>
      <c r="AG63" s="17"/>
      <c r="AH63" s="17"/>
      <c r="AI63" s="17"/>
      <c r="AJ63" s="17"/>
    </row>
    <row r="64" spans="1:36" ht="15" x14ac:dyDescent="0.25">
      <c r="B64" s="361"/>
      <c r="C64" s="358"/>
      <c r="D64" s="359"/>
      <c r="E64" s="359"/>
      <c r="F64" s="342"/>
      <c r="K64" s="342"/>
      <c r="L64" s="358"/>
      <c r="M64" s="359"/>
      <c r="N64" s="359"/>
      <c r="O64" s="342"/>
      <c r="S64" s="342"/>
      <c r="T64" s="358"/>
      <c r="U64" s="359"/>
      <c r="V64" s="359"/>
      <c r="W64" s="342"/>
      <c r="AD64" s="17"/>
      <c r="AE64" s="17"/>
      <c r="AF64" s="17"/>
      <c r="AG64" s="17"/>
      <c r="AH64" s="17"/>
      <c r="AI64" s="17"/>
      <c r="AJ64" s="17"/>
    </row>
    <row r="65" spans="2:36" ht="15" x14ac:dyDescent="0.25">
      <c r="B65" s="361"/>
      <c r="C65" s="358"/>
      <c r="D65" s="359"/>
      <c r="E65" s="359"/>
      <c r="F65" s="342"/>
      <c r="K65" s="363"/>
      <c r="L65" s="364"/>
      <c r="M65" s="359"/>
      <c r="N65" s="359"/>
      <c r="O65" s="342"/>
      <c r="S65" s="342"/>
      <c r="T65" s="358"/>
      <c r="U65" s="359"/>
      <c r="V65" s="359"/>
      <c r="W65" s="342"/>
      <c r="AD65" s="17"/>
      <c r="AE65" s="17"/>
      <c r="AF65" s="17"/>
      <c r="AG65" s="17"/>
      <c r="AH65" s="17"/>
      <c r="AI65" s="17"/>
      <c r="AJ65" s="17"/>
    </row>
    <row r="66" spans="2:36" ht="15" x14ac:dyDescent="0.25">
      <c r="B66" s="361"/>
      <c r="C66" s="358"/>
      <c r="D66" s="359"/>
      <c r="E66" s="359"/>
      <c r="F66" s="342"/>
      <c r="K66" s="342"/>
      <c r="L66" s="364"/>
      <c r="M66" s="359"/>
      <c r="N66" s="359"/>
      <c r="O66" s="342"/>
      <c r="S66" s="342"/>
      <c r="T66" s="360"/>
      <c r="U66" s="359"/>
      <c r="V66" s="359"/>
      <c r="W66" s="342"/>
      <c r="AD66" s="17"/>
      <c r="AE66" s="17"/>
      <c r="AF66" s="17"/>
      <c r="AG66" s="17"/>
      <c r="AH66" s="17"/>
      <c r="AI66" s="17"/>
      <c r="AJ66" s="17"/>
    </row>
    <row r="67" spans="2:36" ht="15" x14ac:dyDescent="0.25">
      <c r="B67" s="361"/>
      <c r="C67" s="358"/>
      <c r="D67" s="359"/>
      <c r="E67" s="359"/>
      <c r="F67" s="342"/>
      <c r="K67" s="342"/>
      <c r="L67" s="342"/>
      <c r="M67" s="342"/>
      <c r="N67" s="342"/>
      <c r="O67" s="342"/>
      <c r="S67" s="342"/>
      <c r="T67" s="358"/>
      <c r="U67" s="359"/>
      <c r="V67" s="359"/>
      <c r="W67" s="342"/>
      <c r="AD67" s="17"/>
      <c r="AE67" s="17"/>
      <c r="AF67" s="17"/>
      <c r="AG67" s="17"/>
      <c r="AH67" s="17"/>
      <c r="AI67" s="17"/>
      <c r="AJ67" s="17"/>
    </row>
    <row r="68" spans="2:36" x14ac:dyDescent="0.25">
      <c r="B68" s="361"/>
      <c r="C68" s="342"/>
      <c r="D68" s="361"/>
      <c r="E68" s="342"/>
      <c r="F68" s="342"/>
      <c r="K68" s="342"/>
      <c r="L68" s="342"/>
      <c r="M68" s="342"/>
      <c r="N68" s="342"/>
      <c r="O68" s="342"/>
      <c r="S68" s="342"/>
      <c r="T68" s="342"/>
      <c r="U68" s="342"/>
      <c r="V68" s="342"/>
      <c r="W68" s="342"/>
      <c r="AD68" s="17"/>
      <c r="AE68" s="17"/>
      <c r="AF68" s="17"/>
      <c r="AG68" s="17"/>
      <c r="AH68" s="17"/>
      <c r="AI68" s="17"/>
      <c r="AJ68" s="17"/>
    </row>
    <row r="69" spans="2:36" x14ac:dyDescent="0.25">
      <c r="B69" s="361"/>
      <c r="C69" s="342"/>
      <c r="D69" s="361"/>
      <c r="E69" s="342"/>
      <c r="F69" s="342"/>
      <c r="K69" s="342"/>
      <c r="L69" s="342"/>
      <c r="M69" s="342"/>
      <c r="N69" s="342"/>
      <c r="O69" s="342"/>
      <c r="S69" s="342"/>
      <c r="T69" s="342"/>
      <c r="U69" s="342"/>
      <c r="V69" s="342"/>
      <c r="W69" s="342"/>
      <c r="AD69" s="17"/>
      <c r="AE69" s="17"/>
      <c r="AF69" s="17"/>
      <c r="AG69" s="17"/>
      <c r="AH69" s="17"/>
      <c r="AI69" s="17"/>
      <c r="AJ69" s="17"/>
    </row>
    <row r="70" spans="2:36" x14ac:dyDescent="0.25">
      <c r="B70" s="361"/>
      <c r="C70" s="342"/>
      <c r="D70" s="361"/>
      <c r="E70" s="342"/>
      <c r="F70" s="342"/>
      <c r="K70" s="342"/>
      <c r="L70" s="342"/>
      <c r="M70" s="342"/>
      <c r="N70" s="342"/>
      <c r="O70" s="342"/>
      <c r="S70" s="342"/>
      <c r="T70" s="342"/>
      <c r="U70" s="342"/>
      <c r="V70" s="342"/>
      <c r="W70" s="342"/>
      <c r="AD70" s="17"/>
      <c r="AE70" s="17"/>
      <c r="AF70" s="17"/>
      <c r="AG70" s="17"/>
      <c r="AH70" s="17"/>
      <c r="AI70" s="17"/>
      <c r="AJ70" s="17"/>
    </row>
    <row r="71" spans="2:36" x14ac:dyDescent="0.25">
      <c r="K71" s="342"/>
      <c r="L71" s="342"/>
      <c r="M71" s="342"/>
      <c r="N71" s="342"/>
      <c r="O71" s="342"/>
      <c r="S71" s="342"/>
      <c r="T71" s="342"/>
      <c r="U71" s="342"/>
      <c r="V71" s="342"/>
      <c r="W71" s="342"/>
      <c r="AD71" s="17"/>
      <c r="AE71" s="17"/>
      <c r="AF71" s="17"/>
      <c r="AG71" s="17"/>
      <c r="AH71" s="17"/>
      <c r="AI71" s="17"/>
      <c r="AJ71" s="17"/>
    </row>
    <row r="72" spans="2:36" x14ac:dyDescent="0.25">
      <c r="AD72" s="17"/>
      <c r="AE72" s="17"/>
      <c r="AF72" s="17"/>
      <c r="AG72" s="17"/>
      <c r="AH72" s="17"/>
      <c r="AI72" s="17"/>
      <c r="AJ72" s="17"/>
    </row>
    <row r="73" spans="2:36" x14ac:dyDescent="0.25">
      <c r="AD73" s="17"/>
      <c r="AE73" s="17"/>
      <c r="AF73" s="17"/>
      <c r="AG73" s="17"/>
      <c r="AH73" s="17"/>
      <c r="AI73" s="17"/>
      <c r="AJ73" s="17"/>
    </row>
    <row r="74" spans="2:36" x14ac:dyDescent="0.25">
      <c r="AD74" s="17"/>
      <c r="AE74" s="17"/>
      <c r="AF74" s="17"/>
      <c r="AG74" s="17"/>
      <c r="AH74" s="17"/>
      <c r="AI74" s="17"/>
      <c r="AJ74" s="17"/>
    </row>
    <row r="75" spans="2:36" x14ac:dyDescent="0.25">
      <c r="AD75" s="17"/>
      <c r="AE75" s="17"/>
      <c r="AF75" s="17"/>
      <c r="AG75" s="17"/>
      <c r="AH75" s="17"/>
      <c r="AI75" s="17"/>
      <c r="AJ75" s="17"/>
    </row>
    <row r="76" spans="2:36" x14ac:dyDescent="0.25">
      <c r="AD76" s="17"/>
      <c r="AE76" s="17"/>
      <c r="AF76" s="17"/>
      <c r="AG76" s="17"/>
      <c r="AH76" s="17"/>
      <c r="AI76" s="17"/>
      <c r="AJ76" s="17"/>
    </row>
    <row r="77" spans="2:36" x14ac:dyDescent="0.25">
      <c r="AD77" s="17"/>
      <c r="AE77" s="17"/>
      <c r="AF77" s="17"/>
      <c r="AG77" s="17"/>
      <c r="AH77" s="17"/>
      <c r="AI77" s="17"/>
      <c r="AJ77" s="17"/>
    </row>
    <row r="78" spans="2:36" x14ac:dyDescent="0.25">
      <c r="AD78" s="17"/>
      <c r="AE78" s="17"/>
      <c r="AF78" s="17"/>
      <c r="AG78" s="17"/>
      <c r="AH78" s="17"/>
      <c r="AI78" s="17"/>
      <c r="AJ78" s="17"/>
    </row>
    <row r="79" spans="2:36" x14ac:dyDescent="0.25">
      <c r="AD79" s="17"/>
      <c r="AE79" s="17"/>
      <c r="AF79" s="17"/>
      <c r="AG79" s="17"/>
      <c r="AH79" s="17"/>
      <c r="AI79" s="17"/>
      <c r="AJ79" s="17"/>
    </row>
    <row r="80" spans="2:36" x14ac:dyDescent="0.25">
      <c r="AD80" s="17"/>
      <c r="AE80" s="17"/>
      <c r="AF80" s="17"/>
      <c r="AG80" s="17"/>
      <c r="AH80" s="17"/>
      <c r="AI80" s="17"/>
      <c r="AJ80" s="17"/>
    </row>
    <row r="81" spans="30:36" x14ac:dyDescent="0.25">
      <c r="AD81" s="17"/>
      <c r="AE81" s="17"/>
      <c r="AF81" s="17"/>
      <c r="AG81" s="17"/>
      <c r="AH81" s="17"/>
      <c r="AI81" s="17"/>
      <c r="AJ81" s="17"/>
    </row>
    <row r="82" spans="30:36" x14ac:dyDescent="0.25">
      <c r="AD82" s="17"/>
      <c r="AE82" s="17"/>
      <c r="AF82" s="17"/>
      <c r="AG82" s="17"/>
      <c r="AH82" s="17"/>
      <c r="AI82" s="17"/>
      <c r="AJ82" s="17"/>
    </row>
    <row r="83" spans="30:36" x14ac:dyDescent="0.25">
      <c r="AD83" s="17"/>
      <c r="AE83" s="17"/>
      <c r="AF83" s="17"/>
      <c r="AG83" s="17"/>
      <c r="AH83" s="17"/>
      <c r="AI83" s="17"/>
      <c r="AJ83" s="17"/>
    </row>
  </sheetData>
  <sheetProtection sheet="1" objects="1" scenarios="1" formatCells="0" formatColumns="0" formatRows="0"/>
  <dataConsolidate link="1"/>
  <mergeCells count="83">
    <mergeCell ref="C12:C13"/>
    <mergeCell ref="S10:S11"/>
    <mergeCell ref="S12:S13"/>
    <mergeCell ref="K12:K13"/>
    <mergeCell ref="O21:P21"/>
    <mergeCell ref="C16:C17"/>
    <mergeCell ref="C18:C19"/>
    <mergeCell ref="L18:L19"/>
    <mergeCell ref="G16:H16"/>
    <mergeCell ref="D18:D19"/>
    <mergeCell ref="O16:P16"/>
    <mergeCell ref="S15:V15"/>
    <mergeCell ref="K16:K17"/>
    <mergeCell ref="L16:L17"/>
    <mergeCell ref="M16:M17"/>
    <mergeCell ref="K20:N20"/>
    <mergeCell ref="C28:C29"/>
    <mergeCell ref="C26:C27"/>
    <mergeCell ref="N26:N27"/>
    <mergeCell ref="F21:F22"/>
    <mergeCell ref="G21:H21"/>
    <mergeCell ref="K21:K22"/>
    <mergeCell ref="L21:L22"/>
    <mergeCell ref="M21:M22"/>
    <mergeCell ref="N21:N22"/>
    <mergeCell ref="D28:D29"/>
    <mergeCell ref="K28:K29"/>
    <mergeCell ref="L28:L29"/>
    <mergeCell ref="D26:D27"/>
    <mergeCell ref="G26:H26"/>
    <mergeCell ref="F26:F27"/>
    <mergeCell ref="C23:C24"/>
    <mergeCell ref="C21:C22"/>
    <mergeCell ref="D21:D22"/>
    <mergeCell ref="E21:E22"/>
    <mergeCell ref="N16:N17"/>
    <mergeCell ref="K18:K19"/>
    <mergeCell ref="E26:E27"/>
    <mergeCell ref="K26:K27"/>
    <mergeCell ref="D23:D24"/>
    <mergeCell ref="K23:K24"/>
    <mergeCell ref="L23:L24"/>
    <mergeCell ref="T8:T9"/>
    <mergeCell ref="C8:C9"/>
    <mergeCell ref="K8:K9"/>
    <mergeCell ref="L8:L9"/>
    <mergeCell ref="K10:K11"/>
    <mergeCell ref="S8:S9"/>
    <mergeCell ref="C10:C11"/>
    <mergeCell ref="D2:E2"/>
    <mergeCell ref="F16:F17"/>
    <mergeCell ref="D8:D9"/>
    <mergeCell ref="D16:D17"/>
    <mergeCell ref="E16:E17"/>
    <mergeCell ref="D4:E4"/>
    <mergeCell ref="D3:E3"/>
    <mergeCell ref="F2:G2"/>
    <mergeCell ref="K15:N15"/>
    <mergeCell ref="L26:L27"/>
    <mergeCell ref="W16:X16"/>
    <mergeCell ref="W26:X26"/>
    <mergeCell ref="S16:S17"/>
    <mergeCell ref="T16:T17"/>
    <mergeCell ref="U16:U17"/>
    <mergeCell ref="V16:V17"/>
    <mergeCell ref="S23:S24"/>
    <mergeCell ref="T23:T24"/>
    <mergeCell ref="S20:V20"/>
    <mergeCell ref="S21:S22"/>
    <mergeCell ref="T21:T22"/>
    <mergeCell ref="U21:U22"/>
    <mergeCell ref="V21:V22"/>
    <mergeCell ref="M26:M27"/>
    <mergeCell ref="V26:V27"/>
    <mergeCell ref="S28:S29"/>
    <mergeCell ref="T28:T29"/>
    <mergeCell ref="W21:X21"/>
    <mergeCell ref="O26:P26"/>
    <mergeCell ref="S18:S19"/>
    <mergeCell ref="T18:T19"/>
    <mergeCell ref="S26:S27"/>
    <mergeCell ref="T26:T27"/>
    <mergeCell ref="U26:U27"/>
  </mergeCells>
  <phoneticPr fontId="2" type="noConversion"/>
  <conditionalFormatting sqref="C12">
    <cfRule type="cellIs" dxfId="388" priority="4" stopIfTrue="1" operator="equal">
      <formula>0</formula>
    </cfRule>
    <cfRule type="containsBlanks" dxfId="387" priority="5" stopIfTrue="1">
      <formula>LEN(TRIM(C12))=0</formula>
    </cfRule>
    <cfRule type="cellIs" dxfId="386" priority="6" operator="lessThan">
      <formula>0.1</formula>
    </cfRule>
  </conditionalFormatting>
  <conditionalFormatting sqref="D18 L18 G18:I20 O18:Q20 D23 L23 G23:I24 O23:Q24 D28">
    <cfRule type="cellIs" dxfId="385" priority="502" operator="lessThan">
      <formula>0.1</formula>
    </cfRule>
    <cfRule type="cellIs" dxfId="384" priority="503" operator="lessThan">
      <formula>10</formula>
    </cfRule>
    <cfRule type="cellIs" dxfId="383" priority="504" operator="greaterThanOrEqual">
      <formula>10</formula>
    </cfRule>
    <cfRule type="containsBlanks" dxfId="382" priority="501" stopIfTrue="1">
      <formula>LEN(TRIM(D18))=0</formula>
    </cfRule>
  </conditionalFormatting>
  <conditionalFormatting sqref="E10:H13 U10:X13">
    <cfRule type="cellIs" dxfId="381" priority="343" operator="between">
      <formula>10</formula>
      <formula>9999.999</formula>
    </cfRule>
    <cfRule type="cellIs" dxfId="380" priority="342" operator="greaterThan">
      <formula>10000</formula>
    </cfRule>
    <cfRule type="cellIs" dxfId="379" priority="344" operator="between">
      <formula>1</formula>
      <formula>9.999</formula>
    </cfRule>
    <cfRule type="cellIs" dxfId="378" priority="346" operator="lessThan">
      <formula>0.1</formula>
    </cfRule>
    <cfRule type="cellIs" dxfId="377" priority="345" operator="between">
      <formula>0.1</formula>
      <formula>0.999</formula>
    </cfRule>
  </conditionalFormatting>
  <conditionalFormatting sqref="E10:H13">
    <cfRule type="cellIs" dxfId="376" priority="221" operator="equal">
      <formula>0</formula>
    </cfRule>
  </conditionalFormatting>
  <conditionalFormatting sqref="G18:I20 G23:I24 G28:I29">
    <cfRule type="cellIs" dxfId="375" priority="506" operator="greaterThanOrEqual">
      <formula>$F18</formula>
    </cfRule>
    <cfRule type="cellIs" dxfId="374" priority="507" operator="lessThan">
      <formula>$F18</formula>
    </cfRule>
  </conditionalFormatting>
  <conditionalFormatting sqref="G28:I29">
    <cfRule type="cellIs" dxfId="373" priority="493" stopIfTrue="1" operator="equal">
      <formula>0</formula>
    </cfRule>
    <cfRule type="containsBlanks" dxfId="372" priority="494" stopIfTrue="1">
      <formula>LEN(TRIM(G28))=0</formula>
    </cfRule>
    <cfRule type="cellIs" dxfId="371" priority="495" operator="lessThan">
      <formula>0.1</formula>
    </cfRule>
    <cfRule type="cellIs" dxfId="370" priority="496" operator="lessThan">
      <formula>10</formula>
    </cfRule>
    <cfRule type="cellIs" dxfId="369" priority="497" operator="greaterThanOrEqual">
      <formula>10</formula>
    </cfRule>
  </conditionalFormatting>
  <conditionalFormatting sqref="K12">
    <cfRule type="cellIs" dxfId="368" priority="166" stopIfTrue="1" operator="equal">
      <formula>0</formula>
    </cfRule>
    <cfRule type="containsBlanks" dxfId="367" priority="167" stopIfTrue="1">
      <formula>LEN(TRIM(K12))=0</formula>
    </cfRule>
    <cfRule type="cellIs" dxfId="366" priority="168" operator="lessThan">
      <formula>0.1</formula>
    </cfRule>
  </conditionalFormatting>
  <conditionalFormatting sqref="L28">
    <cfRule type="containsBlanks" dxfId="365" priority="461" stopIfTrue="1">
      <formula>LEN(TRIM(L28))=0</formula>
    </cfRule>
    <cfRule type="cellIs" dxfId="364" priority="462" operator="lessThan">
      <formula>0.1</formula>
    </cfRule>
    <cfRule type="cellIs" dxfId="363" priority="463" operator="lessThan">
      <formula>10</formula>
    </cfRule>
    <cfRule type="cellIs" dxfId="362" priority="460" stopIfTrue="1" operator="equal">
      <formula>0</formula>
    </cfRule>
    <cfRule type="cellIs" dxfId="361" priority="464" operator="greaterThanOrEqual">
      <formula>10</formula>
    </cfRule>
  </conditionalFormatting>
  <conditionalFormatting sqref="M10:P13">
    <cfRule type="cellIs" dxfId="360" priority="12" operator="lessThan">
      <formula>0.1</formula>
    </cfRule>
    <cfRule type="cellIs" dxfId="359" priority="8" operator="greaterThan">
      <formula>10000</formula>
    </cfRule>
    <cfRule type="cellIs" dxfId="358" priority="7" operator="equal">
      <formula>0</formula>
    </cfRule>
    <cfRule type="cellIs" dxfId="357" priority="9" operator="between">
      <formula>10</formula>
      <formula>9999.999</formula>
    </cfRule>
    <cfRule type="cellIs" dxfId="356" priority="10" operator="between">
      <formula>1</formula>
      <formula>9.999</formula>
    </cfRule>
    <cfRule type="cellIs" dxfId="355" priority="11" operator="between">
      <formula>0.1</formula>
      <formula>0.999</formula>
    </cfRule>
  </conditionalFormatting>
  <conditionalFormatting sqref="O28:P29">
    <cfRule type="cellIs" dxfId="354" priority="117" operator="greaterThanOrEqual">
      <formula>10</formula>
    </cfRule>
    <cfRule type="cellIs" dxfId="353" priority="116" operator="lessThan">
      <formula>10</formula>
    </cfRule>
    <cfRule type="cellIs" dxfId="352" priority="115" operator="lessThan">
      <formula>0.1</formula>
    </cfRule>
    <cfRule type="containsBlanks" dxfId="351" priority="114" stopIfTrue="1">
      <formula>LEN(TRIM(O28))=0</formula>
    </cfRule>
    <cfRule type="cellIs" dxfId="350" priority="113" stopIfTrue="1" operator="equal">
      <formula>0</formula>
    </cfRule>
  </conditionalFormatting>
  <conditionalFormatting sqref="O18:Q18 O20:Q20">
    <cfRule type="cellIs" dxfId="349" priority="558" operator="lessThan">
      <formula>$N18</formula>
    </cfRule>
    <cfRule type="cellIs" dxfId="348" priority="557" operator="greaterThanOrEqual">
      <formula>$N18</formula>
    </cfRule>
  </conditionalFormatting>
  <conditionalFormatting sqref="O18:Q19 O23:Q24 O28:Q29">
    <cfRule type="cellIs" dxfId="347" priority="153" stopIfTrue="1" operator="equal">
      <formula>0</formula>
    </cfRule>
    <cfRule type="cellIs" dxfId="346" priority="212" operator="lessThan">
      <formula>$N18</formula>
    </cfRule>
  </conditionalFormatting>
  <conditionalFormatting sqref="O18:Q19 O23:Q24">
    <cfRule type="cellIs" dxfId="345" priority="214" operator="lessThan">
      <formula>10</formula>
    </cfRule>
  </conditionalFormatting>
  <conditionalFormatting sqref="O18:Q20 O23:Q24 D18 L18 G18:I20 D23 L23 G23:I24 D28">
    <cfRule type="cellIs" dxfId="344" priority="500" stopIfTrue="1" operator="equal">
      <formula>0</formula>
    </cfRule>
  </conditionalFormatting>
  <conditionalFormatting sqref="O19:Q19">
    <cfRule type="cellIs" dxfId="343" priority="213" operator="lessThan">
      <formula>0.1</formula>
    </cfRule>
    <cfRule type="cellIs" dxfId="342" priority="215" operator="greaterThanOrEqual">
      <formula>10</formula>
    </cfRule>
  </conditionalFormatting>
  <conditionalFormatting sqref="O23:Q24 O28:Q29 O18:Q19">
    <cfRule type="containsBlanks" dxfId="341" priority="152" stopIfTrue="1">
      <formula>LEN(TRIM(O18))=0</formula>
    </cfRule>
  </conditionalFormatting>
  <conditionalFormatting sqref="O28:Q29 O18:Q19 O23:Q24">
    <cfRule type="cellIs" dxfId="340" priority="211" operator="greaterThanOrEqual">
      <formula>$N18</formula>
    </cfRule>
  </conditionalFormatting>
  <conditionalFormatting sqref="O28:Q29">
    <cfRule type="cellIs" dxfId="339" priority="178" operator="greaterThanOrEqual">
      <formula>10</formula>
    </cfRule>
    <cfRule type="cellIs" dxfId="338" priority="176" operator="lessThan">
      <formula>0.1</formula>
    </cfRule>
    <cfRule type="cellIs" dxfId="337" priority="177" operator="lessThan">
      <formula>10</formula>
    </cfRule>
    <cfRule type="containsBlanks" dxfId="336" priority="175" stopIfTrue="1">
      <formula>LEN(TRIM(O28))=0</formula>
    </cfRule>
    <cfRule type="cellIs" dxfId="335" priority="174" stopIfTrue="1" operator="equal">
      <formula>0</formula>
    </cfRule>
    <cfRule type="containsBlanks" dxfId="334" priority="156" stopIfTrue="1">
      <formula>LEN(TRIM(O28))=0</formula>
    </cfRule>
    <cfRule type="cellIs" dxfId="333" priority="157" operator="lessThan">
      <formula>0.1</formula>
    </cfRule>
    <cfRule type="cellIs" dxfId="332" priority="158" operator="lessThan">
      <formula>10</formula>
    </cfRule>
    <cfRule type="cellIs" dxfId="331" priority="159" operator="greaterThanOrEqual">
      <formula>10</formula>
    </cfRule>
  </conditionalFormatting>
  <conditionalFormatting sqref="P22">
    <cfRule type="containsBlanks" dxfId="330" priority="163" stopIfTrue="1">
      <formula>LEN(TRIM(P22))=0</formula>
    </cfRule>
    <cfRule type="cellIs" dxfId="329" priority="164" operator="lessThan">
      <formula>0.1</formula>
    </cfRule>
    <cfRule type="cellIs" dxfId="328" priority="162" stopIfTrue="1" operator="equal">
      <formula>0</formula>
    </cfRule>
  </conditionalFormatting>
  <conditionalFormatting sqref="P23:P24">
    <cfRule type="cellIs" dxfId="327" priority="151" operator="lessThan">
      <formula>$N23</formula>
    </cfRule>
    <cfRule type="cellIs" dxfId="326" priority="150" operator="greaterThanOrEqual">
      <formula>$N23</formula>
    </cfRule>
  </conditionalFormatting>
  <conditionalFormatting sqref="P24">
    <cfRule type="cellIs" dxfId="325" priority="147" operator="greaterThanOrEqual">
      <formula>10</formula>
    </cfRule>
    <cfRule type="cellIs" dxfId="324" priority="141" operator="greaterThanOrEqual">
      <formula>$N24</formula>
    </cfRule>
    <cfRule type="cellIs" dxfId="323" priority="148" operator="greaterThanOrEqual">
      <formula>$N24</formula>
    </cfRule>
    <cfRule type="cellIs" dxfId="322" priority="142" operator="lessThan">
      <formula>$N24</formula>
    </cfRule>
    <cfRule type="cellIs" dxfId="321" priority="143" stopIfTrue="1" operator="equal">
      <formula>0</formula>
    </cfRule>
    <cfRule type="containsBlanks" dxfId="320" priority="144" stopIfTrue="1">
      <formula>LEN(TRIM(P24))=0</formula>
    </cfRule>
    <cfRule type="cellIs" dxfId="319" priority="145" operator="lessThan">
      <formula>0.1</formula>
    </cfRule>
    <cfRule type="cellIs" dxfId="318" priority="146" operator="lessThan">
      <formula>10</formula>
    </cfRule>
    <cfRule type="cellIs" dxfId="317" priority="149" operator="lessThan">
      <formula>$N24</formula>
    </cfRule>
  </conditionalFormatting>
  <conditionalFormatting sqref="P28:P29">
    <cfRule type="cellIs" dxfId="316" priority="118" operator="greaterThanOrEqual">
      <formula>$N28</formula>
    </cfRule>
    <cfRule type="cellIs" dxfId="315" priority="120" stopIfTrue="1" operator="equal">
      <formula>0</formula>
    </cfRule>
    <cfRule type="containsBlanks" dxfId="314" priority="121" stopIfTrue="1">
      <formula>LEN(TRIM(P28))=0</formula>
    </cfRule>
    <cfRule type="cellIs" dxfId="313" priority="122" operator="lessThan">
      <formula>0.1</formula>
    </cfRule>
    <cfRule type="cellIs" dxfId="312" priority="123" operator="lessThan">
      <formula>10</formula>
    </cfRule>
    <cfRule type="cellIs" dxfId="311" priority="124" operator="greaterThanOrEqual">
      <formula>10</formula>
    </cfRule>
    <cfRule type="cellIs" dxfId="310" priority="134" stopIfTrue="1" operator="equal">
      <formula>0</formula>
    </cfRule>
    <cfRule type="containsBlanks" dxfId="309" priority="135" stopIfTrue="1">
      <formula>LEN(TRIM(P28))=0</formula>
    </cfRule>
    <cfRule type="cellIs" dxfId="308" priority="136" operator="lessThan">
      <formula>0.1</formula>
    </cfRule>
    <cfRule type="cellIs" dxfId="307" priority="138" operator="greaterThanOrEqual">
      <formula>10</formula>
    </cfRule>
    <cfRule type="cellIs" dxfId="306" priority="139" operator="greaterThanOrEqual">
      <formula>$N28</formula>
    </cfRule>
    <cfRule type="cellIs" dxfId="305" priority="140" operator="lessThan">
      <formula>$N28</formula>
    </cfRule>
    <cfRule type="cellIs" dxfId="304" priority="137" operator="lessThan">
      <formula>10</formula>
    </cfRule>
    <cfRule type="cellIs" dxfId="303" priority="119" operator="lessThan">
      <formula>$N28</formula>
    </cfRule>
  </conditionalFormatting>
  <conditionalFormatting sqref="P29">
    <cfRule type="cellIs" dxfId="302" priority="125" operator="greaterThanOrEqual">
      <formula>$N29</formula>
    </cfRule>
    <cfRule type="cellIs" dxfId="301" priority="126" operator="lessThan">
      <formula>$N29</formula>
    </cfRule>
    <cfRule type="cellIs" dxfId="300" priority="127" stopIfTrue="1" operator="equal">
      <formula>0</formula>
    </cfRule>
    <cfRule type="containsBlanks" dxfId="299" priority="128" stopIfTrue="1">
      <formula>LEN(TRIM(P29))=0</formula>
    </cfRule>
    <cfRule type="cellIs" dxfId="298" priority="132" operator="greaterThanOrEqual">
      <formula>$N29</formula>
    </cfRule>
    <cfRule type="cellIs" dxfId="297" priority="133" operator="lessThan">
      <formula>$N29</formula>
    </cfRule>
    <cfRule type="cellIs" dxfId="296" priority="131" operator="greaterThanOrEqual">
      <formula>10</formula>
    </cfRule>
    <cfRule type="cellIs" dxfId="295" priority="130" operator="lessThan">
      <formula>10</formula>
    </cfRule>
    <cfRule type="cellIs" dxfId="294" priority="129" operator="lessThan">
      <formula>0.1</formula>
    </cfRule>
  </conditionalFormatting>
  <conditionalFormatting sqref="S12">
    <cfRule type="containsBlanks" dxfId="293" priority="2" stopIfTrue="1">
      <formula>LEN(TRIM(S12))=0</formula>
    </cfRule>
    <cfRule type="cellIs" dxfId="292" priority="3" operator="lessThan">
      <formula>0.1</formula>
    </cfRule>
    <cfRule type="cellIs" dxfId="291" priority="1" stopIfTrue="1" operator="equal">
      <formula>0</formula>
    </cfRule>
  </conditionalFormatting>
  <conditionalFormatting sqref="T18">
    <cfRule type="cellIs" dxfId="290" priority="449" operator="lessThan">
      <formula>10</formula>
    </cfRule>
    <cfRule type="cellIs" dxfId="289" priority="450" operator="greaterThanOrEqual">
      <formula>10</formula>
    </cfRule>
    <cfRule type="containsBlanks" dxfId="288" priority="447" stopIfTrue="1">
      <formula>LEN(TRIM(T18))=0</formula>
    </cfRule>
    <cfRule type="cellIs" dxfId="287" priority="446" stopIfTrue="1" operator="equal">
      <formula>0</formula>
    </cfRule>
    <cfRule type="cellIs" dxfId="286" priority="448" operator="lessThan">
      <formula>0.1</formula>
    </cfRule>
  </conditionalFormatting>
  <conditionalFormatting sqref="T23">
    <cfRule type="cellIs" dxfId="285" priority="327" stopIfTrue="1" operator="equal">
      <formula>0</formula>
    </cfRule>
    <cfRule type="containsBlanks" dxfId="284" priority="328" stopIfTrue="1">
      <formula>LEN(TRIM(T23))=0</formula>
    </cfRule>
    <cfRule type="cellIs" dxfId="283" priority="329" operator="lessThan">
      <formula>0.1</formula>
    </cfRule>
    <cfRule type="cellIs" dxfId="282" priority="330" operator="lessThan">
      <formula>10</formula>
    </cfRule>
    <cfRule type="cellIs" dxfId="281" priority="331" operator="greaterThanOrEqual">
      <formula>10</formula>
    </cfRule>
  </conditionalFormatting>
  <conditionalFormatting sqref="T28">
    <cfRule type="cellIs" dxfId="280" priority="436" stopIfTrue="1" operator="equal">
      <formula>0</formula>
    </cfRule>
    <cfRule type="containsBlanks" dxfId="279" priority="437" stopIfTrue="1">
      <formula>LEN(TRIM(T28))=0</formula>
    </cfRule>
    <cfRule type="cellIs" dxfId="278" priority="438" operator="lessThan">
      <formula>0.1</formula>
    </cfRule>
    <cfRule type="cellIs" dxfId="277" priority="439" operator="lessThan">
      <formula>10</formula>
    </cfRule>
    <cfRule type="cellIs" dxfId="276" priority="440" operator="greaterThanOrEqual">
      <formula>10</formula>
    </cfRule>
  </conditionalFormatting>
  <conditionalFormatting sqref="W18:Y20 W23:Y24 W28:Y29">
    <cfRule type="cellIs" dxfId="275" priority="433" operator="lessThan">
      <formula>$F18</formula>
    </cfRule>
    <cfRule type="cellIs" dxfId="274" priority="432" operator="greaterThanOrEqual">
      <formula>$F18</formula>
    </cfRule>
  </conditionalFormatting>
  <conditionalFormatting sqref="W18:AA20 W23:AA24">
    <cfRule type="cellIs" dxfId="273" priority="404" operator="lessThan">
      <formula>10</formula>
    </cfRule>
    <cfRule type="cellIs" dxfId="272" priority="401" stopIfTrue="1" operator="equal">
      <formula>0</formula>
    </cfRule>
    <cfRule type="containsBlanks" dxfId="271" priority="402" stopIfTrue="1">
      <formula>LEN(TRIM(W18))=0</formula>
    </cfRule>
    <cfRule type="cellIs" dxfId="270" priority="403" operator="lessThan">
      <formula>0.1</formula>
    </cfRule>
    <cfRule type="cellIs" dxfId="269" priority="405" operator="greaterThanOrEqual">
      <formula>10</formula>
    </cfRule>
  </conditionalFormatting>
  <conditionalFormatting sqref="W28:AA29">
    <cfRule type="containsBlanks" dxfId="268" priority="385" stopIfTrue="1">
      <formula>LEN(TRIM(W28))=0</formula>
    </cfRule>
    <cfRule type="cellIs" dxfId="267" priority="386" operator="lessThan">
      <formula>0.1</formula>
    </cfRule>
    <cfRule type="cellIs" dxfId="266" priority="387" operator="lessThan">
      <formula>10</formula>
    </cfRule>
    <cfRule type="cellIs" dxfId="265" priority="384" stopIfTrue="1" operator="equal">
      <formula>0</formula>
    </cfRule>
    <cfRule type="cellIs" dxfId="264" priority="388" operator="greaterThanOrEqual">
      <formula>10</formula>
    </cfRule>
  </conditionalFormatting>
  <conditionalFormatting sqref="Y28:Y29">
    <cfRule type="cellIs" dxfId="263" priority="372" operator="greaterThanOrEqual">
      <formula>10</formula>
    </cfRule>
    <cfRule type="cellIs" dxfId="262" priority="371" operator="lessThan">
      <formula>10</formula>
    </cfRule>
    <cfRule type="cellIs" dxfId="261" priority="370" operator="lessThan">
      <formula>0.1</formula>
    </cfRule>
    <cfRule type="containsBlanks" dxfId="260" priority="369" stopIfTrue="1">
      <formula>LEN(TRIM(Y28))=0</formula>
    </cfRule>
    <cfRule type="cellIs" dxfId="259" priority="368" stopIfTrue="1" operator="equal">
      <formula>0</formula>
    </cfRule>
  </conditionalFormatting>
  <conditionalFormatting sqref="Y28:AA28">
    <cfRule type="containsBlanks" dxfId="258" priority="309" stopIfTrue="1">
      <formula>LEN(TRIM(Y28))=0</formula>
    </cfRule>
    <cfRule type="cellIs" dxfId="257" priority="308" stopIfTrue="1" operator="equal">
      <formula>0</formula>
    </cfRule>
    <cfRule type="cellIs" dxfId="256" priority="312" operator="greaterThanOrEqual">
      <formula>10</formula>
    </cfRule>
    <cfRule type="cellIs" dxfId="255" priority="311" operator="lessThan">
      <formula>10</formula>
    </cfRule>
    <cfRule type="cellIs" dxfId="254" priority="310" operator="lessThan">
      <formula>0.1</formula>
    </cfRule>
  </conditionalFormatting>
  <conditionalFormatting sqref="Y28:AA29">
    <cfRule type="cellIs" dxfId="253" priority="304" operator="lessThan">
      <formula>10</formula>
    </cfRule>
    <cfRule type="cellIs" dxfId="252" priority="305" operator="greaterThanOrEqual">
      <formula>10</formula>
    </cfRule>
    <cfRule type="containsBlanks" dxfId="251" priority="302" stopIfTrue="1">
      <formula>LEN(TRIM(Y28))=0</formula>
    </cfRule>
    <cfRule type="cellIs" dxfId="250" priority="301" stopIfTrue="1" operator="equal">
      <formula>0</formula>
    </cfRule>
    <cfRule type="cellIs" dxfId="249" priority="303" operator="lessThan">
      <formula>0.1</formula>
    </cfRule>
  </conditionalFormatting>
  <conditionalFormatting sqref="Z18:Z20 Z23:Z24 Z28:Z29">
    <cfRule type="cellIs" dxfId="248" priority="419" operator="lessThan">
      <formula>$N18</formula>
    </cfRule>
    <cfRule type="cellIs" dxfId="247" priority="418" operator="greaterThanOrEqual">
      <formula>$N18</formula>
    </cfRule>
  </conditionalFormatting>
  <conditionalFormatting sqref="AA18:AA20 AA23:AA24">
    <cfRule type="cellIs" dxfId="246" priority="407" operator="lessThan">
      <formula>$F18</formula>
    </cfRule>
    <cfRule type="cellIs" dxfId="245" priority="406" operator="greaterThanOrEqual">
      <formula>$F18</formula>
    </cfRule>
  </conditionalFormatting>
  <conditionalFormatting sqref="AA28">
    <cfRule type="cellIs" dxfId="244" priority="313" operator="greaterThanOrEqual">
      <formula>$F28</formula>
    </cfRule>
    <cfRule type="cellIs" dxfId="243" priority="314" operator="lessThan">
      <formula>$F28</formula>
    </cfRule>
  </conditionalFormatting>
  <conditionalFormatting sqref="AA28:AA29">
    <cfRule type="cellIs" dxfId="242" priority="306" operator="greaterThanOrEqual">
      <formula>$F28</formula>
    </cfRule>
    <cfRule type="cellIs" dxfId="241" priority="307" operator="lessThan">
      <formula>$F28</formula>
    </cfRule>
    <cfRule type="cellIs" dxfId="240" priority="390" operator="lessThan">
      <formula>$F28</formula>
    </cfRule>
    <cfRule type="cellIs" dxfId="239" priority="389" operator="greaterThanOrEqual">
      <formula>$F28</formula>
    </cfRule>
  </conditionalFormatting>
  <dataValidations count="1">
    <dataValidation allowBlank="1" showErrorMessage="1" sqref="F14:H14 C8 K8 C12 S8 E12" xr:uid="{00000000-0002-0000-0200-000005000000}"/>
  </dataValidations>
  <pageMargins left="0.7" right="0.7" top="0.75" bottom="0.75" header="0.3" footer="0.3"/>
  <pageSetup orientation="portrait" r:id="rId1"/>
  <ignoredErrors>
    <ignoredError sqref="D4" unlockedFormula="1"/>
    <ignoredError sqref="E11:G12" formula="1"/>
  </ignoredErrors>
  <extLst>
    <ext xmlns:x14="http://schemas.microsoft.com/office/spreadsheetml/2009/9/main" uri="{CCE6A557-97BC-4b89-ADB6-D9C93CAAB3DF}">
      <x14:dataValidations xmlns:xm="http://schemas.microsoft.com/office/excel/2006/main" count="4">
        <x14:dataValidation type="list" allowBlank="1" showInputMessage="1" showErrorMessage="1" xr:uid="{44E4887F-EC09-4DD3-A7BB-3FED90528BBA}">
          <x14:formula1>
            <xm:f>'List Values'!$D$23:$D$25</xm:f>
          </x14:formula1>
          <xm:sqref>G4</xm:sqref>
        </x14:dataValidation>
        <x14:dataValidation type="list" allowBlank="1" showInputMessage="1" showErrorMessage="1" xr:uid="{7A257FB3-03C7-4DEF-9441-F0399894DF14}">
          <x14:formula1>
            <xm:f>'List Values'!$B$2:$B$19</xm:f>
          </x14:formula1>
          <xm:sqref>C4</xm:sqref>
        </x14:dataValidation>
        <x14:dataValidation type="list" allowBlank="1" showInputMessage="1" showErrorMessage="1" xr:uid="{B0688B23-6125-49FA-9B9F-BE3A00B4E2DD}">
          <x14:formula1>
            <xm:f>'List Values'!$D$15:$D$20</xm:f>
          </x14:formula1>
          <xm:sqref>F4</xm:sqref>
        </x14:dataValidation>
        <x14:dataValidation type="list" allowBlank="1" showInputMessage="1" showErrorMessage="1" xr:uid="{3D820074-6605-408F-8FB7-476692367AAF}">
          <x14:formula1>
            <xm:f>'List Values'!D6:D7</xm:f>
          </x14:formula1>
          <xm:sqref>H4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AD8A6-1677-465E-88B2-1343E7284108}">
  <sheetPr codeName="Sheet3">
    <tabColor rgb="FF92D050"/>
  </sheetPr>
  <dimension ref="A1:AA54"/>
  <sheetViews>
    <sheetView topLeftCell="A3" zoomScaleNormal="100" workbookViewId="0">
      <selection activeCell="C2" sqref="C2"/>
    </sheetView>
  </sheetViews>
  <sheetFormatPr defaultColWidth="8.85546875" defaultRowHeight="12.75" x14ac:dyDescent="0.25"/>
  <cols>
    <col min="1" max="1" width="2.140625" style="17" customWidth="1"/>
    <col min="2" max="2" width="8.42578125" style="14" hidden="1" customWidth="1"/>
    <col min="3" max="3" width="17.140625" style="15" customWidth="1"/>
    <col min="4" max="4" width="13.5703125" style="16" customWidth="1"/>
    <col min="5" max="5" width="15.85546875" style="15" customWidth="1"/>
    <col min="6" max="6" width="13.42578125" style="15" customWidth="1"/>
    <col min="7" max="7" width="2.140625" style="17" customWidth="1"/>
    <col min="8" max="8" width="15" style="17" customWidth="1"/>
    <col min="9" max="9" width="23" style="17" customWidth="1"/>
    <col min="10" max="10" width="17.42578125" style="17" customWidth="1"/>
    <col min="11" max="11" width="15.5703125" style="17" customWidth="1"/>
    <col min="12" max="13" width="21.5703125" style="17" customWidth="1"/>
    <col min="14" max="14" width="13.85546875" style="17" customWidth="1"/>
    <col min="15" max="15" width="10.140625" style="17" bestFit="1" customWidth="1"/>
    <col min="16" max="16" width="10.140625" style="17" customWidth="1"/>
    <col min="17" max="17" width="11.140625" style="17" bestFit="1" customWidth="1"/>
    <col min="18" max="18" width="2.85546875" style="17" customWidth="1"/>
    <col min="19" max="19" width="23.140625" style="17" customWidth="1"/>
    <col min="20" max="20" width="18.140625" style="17" customWidth="1"/>
    <col min="21" max="21" width="21.140625" style="17" customWidth="1"/>
    <col min="22" max="24" width="23.140625" style="17" customWidth="1"/>
    <col min="25" max="25" width="17" style="17" customWidth="1"/>
    <col min="26" max="26" width="13.140625" style="17" customWidth="1"/>
    <col min="27" max="16384" width="8.85546875" style="17"/>
  </cols>
  <sheetData>
    <row r="1" spans="2:27" ht="13.5" thickBot="1" x14ac:dyDescent="0.3">
      <c r="C1" s="17"/>
      <c r="D1" s="14"/>
      <c r="E1" s="17"/>
      <c r="F1" s="17"/>
    </row>
    <row r="2" spans="2:27" ht="29.1" customHeight="1" thickBot="1" x14ac:dyDescent="0.3">
      <c r="C2" s="75" t="s">
        <v>43</v>
      </c>
      <c r="D2" s="442" t="s">
        <v>44</v>
      </c>
      <c r="E2" s="443"/>
      <c r="F2" s="18" t="s">
        <v>46</v>
      </c>
      <c r="J2" s="19"/>
      <c r="K2" s="19"/>
      <c r="V2" s="19"/>
    </row>
    <row r="3" spans="2:27" ht="51" x14ac:dyDescent="0.25">
      <c r="C3" s="76" t="s">
        <v>47</v>
      </c>
      <c r="D3" s="412" t="s">
        <v>48</v>
      </c>
      <c r="E3" s="426"/>
      <c r="F3" s="79" t="s">
        <v>51</v>
      </c>
      <c r="J3" s="19"/>
    </row>
    <row r="4" spans="2:27" ht="23.25" customHeight="1" thickBot="1" x14ac:dyDescent="0.3">
      <c r="C4" s="23" t="s">
        <v>149</v>
      </c>
      <c r="D4" s="424" t="str">
        <f>_xlfn.XLOOKUP($C$4,Inhalation_Exp[OES],Inhalation_Exp[Data Type])</f>
        <v>Modeled Data</v>
      </c>
      <c r="E4" s="425"/>
      <c r="F4" s="82" t="s">
        <v>52</v>
      </c>
      <c r="J4" s="19"/>
    </row>
    <row r="5" spans="2:27" ht="24.75" customHeight="1" x14ac:dyDescent="0.25">
      <c r="I5" s="19"/>
      <c r="J5" s="19"/>
      <c r="K5" s="21"/>
      <c r="L5" s="21"/>
      <c r="M5" s="21"/>
      <c r="N5" s="24"/>
    </row>
    <row r="6" spans="2:27" ht="15.75" x14ac:dyDescent="0.25">
      <c r="I6" s="185" t="s">
        <v>97</v>
      </c>
      <c r="J6" s="26"/>
      <c r="K6" s="19"/>
      <c r="L6" s="21"/>
      <c r="M6" s="21"/>
      <c r="N6" s="19"/>
      <c r="S6" s="185" t="s">
        <v>46</v>
      </c>
      <c r="V6" s="15"/>
      <c r="W6" s="21"/>
      <c r="X6" s="19"/>
    </row>
    <row r="7" spans="2:27" ht="15.75" customHeight="1" thickBot="1" x14ac:dyDescent="0.3">
      <c r="I7" s="186" t="s">
        <v>55</v>
      </c>
      <c r="J7" s="14"/>
      <c r="N7" s="21"/>
      <c r="S7" s="186" t="s">
        <v>55</v>
      </c>
      <c r="U7" s="15"/>
      <c r="V7" s="21"/>
    </row>
    <row r="8" spans="2:27" ht="23.25" customHeight="1" x14ac:dyDescent="0.25">
      <c r="I8" s="429" t="s">
        <v>56</v>
      </c>
      <c r="J8" s="405" t="s">
        <v>57</v>
      </c>
      <c r="K8" s="293" t="s">
        <v>98</v>
      </c>
      <c r="L8" s="293" t="s">
        <v>59</v>
      </c>
      <c r="M8" s="335" t="s">
        <v>99</v>
      </c>
      <c r="N8" s="343"/>
      <c r="S8" s="429" t="s">
        <v>56</v>
      </c>
      <c r="T8" s="405" t="s">
        <v>57</v>
      </c>
      <c r="U8" s="293" t="s">
        <v>100</v>
      </c>
      <c r="V8" s="293" t="s">
        <v>59</v>
      </c>
      <c r="W8" s="335" t="s">
        <v>101</v>
      </c>
      <c r="X8" s="343"/>
    </row>
    <row r="9" spans="2:27" ht="27" customHeight="1" thickBot="1" x14ac:dyDescent="0.3">
      <c r="H9" s="14"/>
      <c r="I9" s="430"/>
      <c r="J9" s="419"/>
      <c r="K9" s="294" t="s">
        <v>62</v>
      </c>
      <c r="L9" s="294" t="s">
        <v>63</v>
      </c>
      <c r="M9" s="336" t="s">
        <v>64</v>
      </c>
      <c r="N9" s="343"/>
      <c r="S9" s="430"/>
      <c r="T9" s="419"/>
      <c r="U9" s="294" t="s">
        <v>102</v>
      </c>
      <c r="V9" s="294" t="s">
        <v>63</v>
      </c>
      <c r="W9" s="336" t="s">
        <v>103</v>
      </c>
      <c r="X9" s="343"/>
    </row>
    <row r="10" spans="2:27" ht="12.75" customHeight="1" x14ac:dyDescent="0.25">
      <c r="H10" s="14"/>
      <c r="I10" s="435" t="str">
        <f>$F$4</f>
        <v>Average Adult Worker</v>
      </c>
      <c r="J10" s="289" t="s">
        <v>67</v>
      </c>
      <c r="K10" s="290">
        <f>SUMIFS(Inhalation_Exp[24hr_High-End],Inhalation_Exp[OES],$C$4,Inhalation_Exp[Worker Type],$I10,Inhalation_Exp[Data Type],$D$4)</f>
        <v>0.625</v>
      </c>
      <c r="L10" s="290">
        <f>SUMIFS(Inhalation_Exp[Int_High-End],Inhalation_Exp[OES],$C$4,Inhalation_Exp[Worker Type],$I10,Inhalation_Exp[Data Type],$D$4)</f>
        <v>0.45833333333333331</v>
      </c>
      <c r="M10" s="355">
        <f>SUMIFS(Inhalation_Exp[ADD_High-End],Inhalation_Exp[OES],$C$4,Inhalation_Exp[Worker Type],$I10,Inhalation_Exp[Data Type],$D$4)</f>
        <v>0.42808219178082191</v>
      </c>
      <c r="N10" s="344"/>
      <c r="S10" s="435" t="str">
        <f>$F$4</f>
        <v>Average Adult Worker</v>
      </c>
      <c r="T10" s="289" t="s">
        <v>67</v>
      </c>
      <c r="U10" s="290">
        <f>SUMIFS(Dermal_Exp[High-End AD (mg/kg-day)],Dermal_Exp[Worker Type],$S$10,Dermal_Exp[OES],$C$4)</f>
        <v>4.5129999999999997E-3</v>
      </c>
      <c r="V10" s="290">
        <f>SUMIFS(Dermal_Exp[High-End IADD (mg/kg-day)],Dermal_Exp[Worker Type],$S$10,Dermal_Exp[OES],$C$4)</f>
        <v>3.3095333333333326E-3</v>
      </c>
      <c r="W10" s="355">
        <f>SUMIFS(Dermal_Exp[High-End ADD (mg/kg-day)],Dermal_Exp[Worker Type],$S$10,Dermal_Exp[OES],$C$4)</f>
        <v>3.0910958904109588E-3</v>
      </c>
      <c r="X10" s="344"/>
      <c r="AA10" s="233"/>
    </row>
    <row r="11" spans="2:27" ht="13.5" thickBot="1" x14ac:dyDescent="0.3">
      <c r="H11" s="14"/>
      <c r="I11" s="436"/>
      <c r="J11" s="291" t="s">
        <v>68</v>
      </c>
      <c r="K11" s="292">
        <f>SUMIFS(Inhalation_Exp[24hr_Central Tendency],Inhalation_Exp[OES],$C$4,Inhalation_Exp[Worker Type],$I10,Inhalation_Exp[Data Type],$D$4)</f>
        <v>0.06</v>
      </c>
      <c r="L11" s="292">
        <f>SUMIFS(Inhalation_Exp[Int_Central Tendency],Inhalation_Exp[OES],$C$4,Inhalation_Exp[Worker Type],$I10,Inhalation_Exp[Data Type],$D$4)</f>
        <v>4.3999999999999997E-2</v>
      </c>
      <c r="M11" s="356">
        <f>SUMIFS(Inhalation_Exp[ADD_Central Tendency],Inhalation_Exp[OES],$C$4,Inhalation_Exp[Worker Type],$I10,Inhalation_Exp[Data Type],$D$4)</f>
        <v>4.1095890410958902E-2</v>
      </c>
      <c r="N11" s="344"/>
      <c r="S11" s="436"/>
      <c r="T11" s="291" t="s">
        <v>68</v>
      </c>
      <c r="U11" s="292">
        <f>SUMIFS(Dermal_Exp[Central Tendency AD (mg/kg-day)],Dermal_Exp[Worker Type],$S$10,Dermal_Exp[OES],$C$4)</f>
        <v>2.2560000000000002E-3</v>
      </c>
      <c r="V11" s="292">
        <f>SUMIFS(Dermal_Exp[Central Tendency IADD (mg/kg-day)],Dermal_Exp[Worker Type],$S$10,Dermal_Exp[OES],$C$4)</f>
        <v>1.6544000000000001E-3</v>
      </c>
      <c r="W11" s="356">
        <f>SUMIFS(Dermal_Exp[Central Tendency ADD (mg/kg-day)],Dermal_Exp[Worker Type],$S$10,Dermal_Exp[OES],$C$4)</f>
        <v>1.5452054794520549E-3</v>
      </c>
      <c r="X11" s="344"/>
      <c r="AA11" s="233"/>
    </row>
    <row r="12" spans="2:27" ht="12.75" customHeight="1" x14ac:dyDescent="0.25">
      <c r="H12" s="14"/>
      <c r="S12" s="460"/>
      <c r="T12" s="234"/>
      <c r="U12" s="209"/>
      <c r="V12" s="209"/>
      <c r="W12" s="209"/>
      <c r="X12" s="209"/>
      <c r="AA12" s="233"/>
    </row>
    <row r="13" spans="2:27" ht="15.75" customHeight="1" x14ac:dyDescent="0.25">
      <c r="H13" s="14"/>
      <c r="I13" s="14"/>
      <c r="J13" s="15"/>
      <c r="K13" s="209"/>
      <c r="L13" s="209"/>
      <c r="M13" s="209"/>
      <c r="N13" s="209"/>
      <c r="S13" s="461"/>
      <c r="T13" s="234"/>
      <c r="U13" s="209"/>
      <c r="V13" s="209"/>
      <c r="W13" s="209"/>
      <c r="X13" s="209"/>
    </row>
    <row r="14" spans="2:27" s="19" customFormat="1" x14ac:dyDescent="0.25">
      <c r="B14" s="26"/>
      <c r="C14" s="29"/>
      <c r="D14" s="29"/>
      <c r="E14" s="29"/>
      <c r="F14" s="29"/>
      <c r="G14" s="29"/>
      <c r="H14" s="30"/>
      <c r="I14" s="21"/>
      <c r="K14" s="30"/>
      <c r="L14" s="30"/>
      <c r="M14" s="30"/>
      <c r="N14" s="30"/>
      <c r="O14" s="30"/>
      <c r="P14" s="30"/>
      <c r="Q14" s="30"/>
      <c r="S14" s="29"/>
      <c r="T14" s="30"/>
      <c r="U14" s="21"/>
      <c r="W14" s="30"/>
    </row>
    <row r="15" spans="2:27" s="19" customFormat="1" ht="16.5" thickBot="1" x14ac:dyDescent="0.3">
      <c r="B15" s="26"/>
      <c r="C15" s="21"/>
      <c r="D15" s="31"/>
      <c r="E15" s="31"/>
      <c r="F15" s="31"/>
      <c r="G15" s="32"/>
      <c r="H15" s="187" t="s">
        <v>104</v>
      </c>
      <c r="I15" s="21"/>
      <c r="K15" s="30"/>
      <c r="L15" s="459"/>
      <c r="M15" s="459"/>
      <c r="N15" s="296"/>
      <c r="O15" s="296"/>
      <c r="P15" s="385"/>
      <c r="S15" s="188" t="s">
        <v>105</v>
      </c>
      <c r="T15" s="33"/>
      <c r="U15" s="33"/>
    </row>
    <row r="16" spans="2:27" s="19" customFormat="1" ht="12.75" customHeight="1" x14ac:dyDescent="0.25">
      <c r="B16" s="26"/>
      <c r="C16" s="449" t="s">
        <v>106</v>
      </c>
      <c r="D16" s="449" t="s">
        <v>107</v>
      </c>
      <c r="E16" s="449"/>
      <c r="F16" s="446" t="s">
        <v>108</v>
      </c>
      <c r="G16" s="34"/>
      <c r="H16" s="437" t="s">
        <v>109</v>
      </c>
      <c r="I16" s="405" t="s">
        <v>57</v>
      </c>
      <c r="J16" s="412" t="s">
        <v>75</v>
      </c>
      <c r="K16" s="412" t="str">
        <f>_xlfn.CONCAT("Exposure Estimates: ",$F$4," MOE")</f>
        <v>Exposure Estimates: Average Adult Worker MOE</v>
      </c>
      <c r="L16" s="457"/>
      <c r="M16" s="457"/>
      <c r="N16" s="457"/>
      <c r="O16" s="457"/>
      <c r="P16" s="457"/>
      <c r="Q16" s="426"/>
      <c r="R16" s="34"/>
      <c r="S16" s="437" t="s">
        <v>74</v>
      </c>
      <c r="T16" s="405" t="s">
        <v>57</v>
      </c>
      <c r="U16" s="403" t="s">
        <v>75</v>
      </c>
      <c r="V16" s="456" t="str">
        <f>_xlfn.CONCAT("Exposure Estimates: ",$F$4," MOE")</f>
        <v>Exposure Estimates: Average Adult Worker MOE</v>
      </c>
      <c r="W16" s="457"/>
      <c r="X16" s="457"/>
      <c r="Y16" s="426"/>
    </row>
    <row r="17" spans="1:25" s="19" customFormat="1" ht="12.75" customHeight="1" x14ac:dyDescent="0.25">
      <c r="B17" s="26"/>
      <c r="C17" s="450"/>
      <c r="D17" s="450"/>
      <c r="E17" s="450"/>
      <c r="F17" s="447"/>
      <c r="G17" s="35"/>
      <c r="H17" s="417"/>
      <c r="I17" s="419"/>
      <c r="J17" s="458"/>
      <c r="K17" s="295"/>
      <c r="L17" s="465" t="s">
        <v>110</v>
      </c>
      <c r="M17" s="466"/>
      <c r="N17" s="466"/>
      <c r="O17" s="466"/>
      <c r="P17" s="466"/>
      <c r="Q17" s="467"/>
      <c r="R17" s="35"/>
      <c r="S17" s="417"/>
      <c r="T17" s="419"/>
      <c r="U17" s="418"/>
      <c r="V17" s="462" t="s">
        <v>111</v>
      </c>
      <c r="W17" s="464" t="s">
        <v>112</v>
      </c>
      <c r="X17" s="464"/>
      <c r="Y17" s="464"/>
    </row>
    <row r="18" spans="1:25" s="19" customFormat="1" x14ac:dyDescent="0.25">
      <c r="B18" s="26"/>
      <c r="C18" s="450"/>
      <c r="D18" s="451"/>
      <c r="E18" s="451"/>
      <c r="F18" s="447"/>
      <c r="G18" s="35"/>
      <c r="H18" s="448"/>
      <c r="I18" s="419"/>
      <c r="J18" s="422"/>
      <c r="K18" s="294" t="s">
        <v>113</v>
      </c>
      <c r="L18" s="294">
        <f>'List Values'!$D$15</f>
        <v>5</v>
      </c>
      <c r="M18" s="294">
        <f>'List Values'!$D$16</f>
        <v>10</v>
      </c>
      <c r="N18" s="294">
        <f>'List Values'!$D$17</f>
        <v>25</v>
      </c>
      <c r="O18" s="294">
        <f>'List Values'!$D$18</f>
        <v>50</v>
      </c>
      <c r="P18" s="384">
        <f>'List Values'!$D$19</f>
        <v>1000</v>
      </c>
      <c r="Q18" s="27">
        <f>'List Values'!$D$20</f>
        <v>10000</v>
      </c>
      <c r="R18" s="35"/>
      <c r="S18" s="438"/>
      <c r="T18" s="419"/>
      <c r="U18" s="418"/>
      <c r="V18" s="463"/>
      <c r="W18" s="198">
        <f>'List Values'!D23</f>
        <v>5</v>
      </c>
      <c r="X18" s="198">
        <f>'List Values'!$D$24</f>
        <v>10</v>
      </c>
      <c r="Y18" s="237">
        <f>'List Values'!$D$25</f>
        <v>20</v>
      </c>
    </row>
    <row r="19" spans="1:25" s="19" customFormat="1" ht="19.5" customHeight="1" x14ac:dyDescent="0.25">
      <c r="B19" s="24" t="s">
        <v>83</v>
      </c>
      <c r="C19" s="454" t="s">
        <v>114</v>
      </c>
      <c r="D19" s="452" t="str">
        <f>_xlfn.XLOOKUP($B19,Tox_Table[Code],Tox_Table[Health Effect])</f>
        <v>Phthalate syndrome-related effects</v>
      </c>
      <c r="E19" s="452">
        <f>_xlfn.XLOOKUP($B19,Tox_Table[Code],Tox_Table[Endpoint])</f>
        <v>0</v>
      </c>
      <c r="F19" s="444">
        <f>_xlfn.XLOOKUP($B19,Tox_Table[Code],Tox_Table[Study])</f>
        <v>0</v>
      </c>
      <c r="G19" s="37"/>
      <c r="H19" s="473">
        <f>_xlfn.XLOOKUP($B19, Tox_Table[Code],Tox_Table[HED / POD (mg/kg/day)], FALSE)</f>
        <v>2.4</v>
      </c>
      <c r="I19" s="235" t="s">
        <v>67</v>
      </c>
      <c r="J19" s="298">
        <f>_xlfn.XLOOKUP($B19,Tox_Table[Code],Tox_Table[Benchmark MOE])</f>
        <v>30</v>
      </c>
      <c r="K19" s="383">
        <f>IFERROR($H19/$K10, "")</f>
        <v>3.84</v>
      </c>
      <c r="L19" s="45">
        <f t="shared" ref="L19:Q20" si="0">IFERROR($H$19/($K10/L$18), "")</f>
        <v>19.2</v>
      </c>
      <c r="M19" s="45">
        <f t="shared" si="0"/>
        <v>38.4</v>
      </c>
      <c r="N19" s="45">
        <f t="shared" si="0"/>
        <v>95.999999999999986</v>
      </c>
      <c r="O19" s="45">
        <f t="shared" si="0"/>
        <v>191.99999999999997</v>
      </c>
      <c r="P19" s="45">
        <f t="shared" ref="P19" si="1">IFERROR($H$19/($K10/P$18), "")</f>
        <v>3840</v>
      </c>
      <c r="Q19" s="46">
        <f t="shared" si="0"/>
        <v>38400</v>
      </c>
      <c r="R19" s="37"/>
      <c r="S19" s="469">
        <f>_xlfn.XLOOKUP($B19, Tox_Table[Code],Tox_Table[HED / POD (mg/kg/day)], FALSE)</f>
        <v>2.4</v>
      </c>
      <c r="T19" s="44" t="s">
        <v>67</v>
      </c>
      <c r="U19" s="298">
        <f>_xlfn.XLOOKUP($B19,Tox_Table[Code],Tox_Table[Benchmark MOE])</f>
        <v>30</v>
      </c>
      <c r="V19" s="38">
        <f>IFERROR(($S$19/$U10), "")</f>
        <v>531.79703079991134</v>
      </c>
      <c r="W19" s="45">
        <f>IFERROR(($S$19/($U10/$W$18)), "")</f>
        <v>2658.985153999557</v>
      </c>
      <c r="X19" s="45">
        <f>IFERROR(($S$19/($U10/$X$18)), "")</f>
        <v>5317.9703079991141</v>
      </c>
      <c r="Y19" s="46">
        <f>IFERROR(($S$19/($U10/$Y$18)), "")</f>
        <v>10635.940615998228</v>
      </c>
    </row>
    <row r="20" spans="1:25" s="19" customFormat="1" ht="19.5" customHeight="1" x14ac:dyDescent="0.25">
      <c r="B20" s="24" t="s">
        <v>83</v>
      </c>
      <c r="C20" s="455"/>
      <c r="D20" s="453"/>
      <c r="E20" s="453"/>
      <c r="F20" s="445"/>
      <c r="G20" s="37"/>
      <c r="H20" s="475"/>
      <c r="I20" s="236" t="s">
        <v>68</v>
      </c>
      <c r="J20" s="297">
        <f>_xlfn.XLOOKUP($B20,Tox_Table[Code],Tox_Table[Benchmark MOE])</f>
        <v>30</v>
      </c>
      <c r="K20" s="41">
        <f>IFERROR($H19/$K$11, "")</f>
        <v>40</v>
      </c>
      <c r="L20" s="215">
        <f t="shared" si="0"/>
        <v>200</v>
      </c>
      <c r="M20" s="215">
        <f t="shared" si="0"/>
        <v>400</v>
      </c>
      <c r="N20" s="215">
        <f t="shared" si="0"/>
        <v>1000</v>
      </c>
      <c r="O20" s="215">
        <f t="shared" si="0"/>
        <v>2000</v>
      </c>
      <c r="P20" s="215">
        <f t="shared" ref="P20" si="2">IFERROR($H$19/($K11/P$18), "")</f>
        <v>40000</v>
      </c>
      <c r="Q20" s="218">
        <f t="shared" si="0"/>
        <v>400000</v>
      </c>
      <c r="R20" s="37"/>
      <c r="S20" s="470"/>
      <c r="T20" s="40" t="s">
        <v>68</v>
      </c>
      <c r="U20" s="297">
        <f>_xlfn.XLOOKUP($B20,Tox_Table[Code],Tox_Table[Benchmark MOE])</f>
        <v>30</v>
      </c>
      <c r="V20" s="215">
        <f>IFERROR(($S$19/$U11), "")</f>
        <v>1063.8297872340424</v>
      </c>
      <c r="W20" s="215">
        <f>IFERROR(($S$19/($U11/$W$18)), "")</f>
        <v>5319.1489361702124</v>
      </c>
      <c r="X20" s="215">
        <f>IFERROR(($S$19/($U11/$X$18)), "")</f>
        <v>10638.297872340425</v>
      </c>
      <c r="Y20" s="218">
        <f>IFERROR(($S$19/($U11/$Y$18)), "")</f>
        <v>21276.59574468085</v>
      </c>
    </row>
    <row r="21" spans="1:25" s="19" customFormat="1" ht="19.5" customHeight="1" x14ac:dyDescent="0.25">
      <c r="B21" s="24" t="s">
        <v>88</v>
      </c>
      <c r="C21" s="454" t="s">
        <v>115</v>
      </c>
      <c r="D21" s="452" t="str">
        <f>_xlfn.XLOOKUP($B21,Tox_Table[Code],Tox_Table[Health Effect])</f>
        <v>Phthalate syndrome-related effects</v>
      </c>
      <c r="E21" s="452">
        <f>_xlfn.XLOOKUP($B21,Tox_Table[Code],Tox_Table[Endpoint])</f>
        <v>0</v>
      </c>
      <c r="F21" s="444">
        <f>_xlfn.XLOOKUP($B21,Tox_Table[Code],Tox_Table[Study])</f>
        <v>0</v>
      </c>
      <c r="G21" s="37"/>
      <c r="H21" s="473">
        <f>_xlfn.XLOOKUP($B21, Tox_Table[Code],Tox_Table[HED / POD (mg/kg/day)], FALSE)</f>
        <v>2.4</v>
      </c>
      <c r="I21" s="235" t="s">
        <v>67</v>
      </c>
      <c r="J21" s="298">
        <f>_xlfn.XLOOKUP($B21,Tox_Table[Code],Tox_Table[Benchmark MOE])</f>
        <v>30</v>
      </c>
      <c r="K21" s="45">
        <f>IFERROR($H21/$L10, "")</f>
        <v>5.2363636363636363</v>
      </c>
      <c r="L21" s="45">
        <f t="shared" ref="L21:Q22" si="3">IFERROR($H$21/($L10/L$18), "")</f>
        <v>26.181818181818183</v>
      </c>
      <c r="M21" s="45">
        <f t="shared" si="3"/>
        <v>52.363636363636367</v>
      </c>
      <c r="N21" s="45">
        <f t="shared" si="3"/>
        <v>130.90909090909091</v>
      </c>
      <c r="O21" s="45">
        <f t="shared" si="3"/>
        <v>261.81818181818181</v>
      </c>
      <c r="P21" s="45">
        <f t="shared" ref="P21" si="4">IFERROR($H$21/($L10/P$18), "")</f>
        <v>5236.363636363636</v>
      </c>
      <c r="Q21" s="46">
        <f t="shared" si="3"/>
        <v>52363.63636363636</v>
      </c>
      <c r="R21" s="37"/>
      <c r="S21" s="469">
        <f>_xlfn.XLOOKUP($B21, Tox_Table[Code],Tox_Table[HED / POD (mg/kg/day)], FALSE)</f>
        <v>2.4</v>
      </c>
      <c r="T21" s="44" t="s">
        <v>67</v>
      </c>
      <c r="U21" s="298">
        <f>_xlfn.XLOOKUP($B21,Tox_Table[Code],Tox_Table[Benchmark MOE])</f>
        <v>30</v>
      </c>
      <c r="V21" s="45">
        <f>IFERROR(($S$21/$V10), "")</f>
        <v>725.1777692726065</v>
      </c>
      <c r="W21" s="45">
        <f t="shared" ref="W21:Y22" si="5">IFERROR(($S$21/($V10/W$18)), "")</f>
        <v>3625.8888463630328</v>
      </c>
      <c r="X21" s="45">
        <f t="shared" si="5"/>
        <v>7251.7776927260657</v>
      </c>
      <c r="Y21" s="46">
        <f t="shared" si="5"/>
        <v>14503.555385452131</v>
      </c>
    </row>
    <row r="22" spans="1:25" s="19" customFormat="1" ht="19.5" customHeight="1" thickBot="1" x14ac:dyDescent="0.3">
      <c r="B22" s="24" t="s">
        <v>88</v>
      </c>
      <c r="C22" s="455"/>
      <c r="D22" s="453"/>
      <c r="E22" s="453"/>
      <c r="F22" s="445"/>
      <c r="G22" s="37"/>
      <c r="H22" s="475"/>
      <c r="I22" s="236" t="s">
        <v>68</v>
      </c>
      <c r="J22" s="297">
        <f>_xlfn.XLOOKUP($B22,Tox_Table[Code],Tox_Table[Benchmark MOE])</f>
        <v>30</v>
      </c>
      <c r="K22" s="215">
        <f>IFERROR($H21/$L11, "")</f>
        <v>54.545454545454547</v>
      </c>
      <c r="L22" s="215">
        <f t="shared" si="3"/>
        <v>272.72727272727275</v>
      </c>
      <c r="M22" s="215">
        <f t="shared" si="3"/>
        <v>545.4545454545455</v>
      </c>
      <c r="N22" s="215">
        <f t="shared" si="3"/>
        <v>1363.6363636363637</v>
      </c>
      <c r="O22" s="215">
        <f t="shared" si="3"/>
        <v>2727.2727272727275</v>
      </c>
      <c r="P22" s="215">
        <f t="shared" ref="P22" si="6">IFERROR($H$21/($L11/P$18), "")</f>
        <v>54545.454545454544</v>
      </c>
      <c r="Q22" s="218">
        <f t="shared" si="3"/>
        <v>545454.54545454553</v>
      </c>
      <c r="R22" s="37"/>
      <c r="S22" s="470"/>
      <c r="T22" s="40" t="s">
        <v>68</v>
      </c>
      <c r="U22" s="297">
        <f>_xlfn.XLOOKUP($B22,Tox_Table[Code],Tox_Table[Benchmark MOE])</f>
        <v>30</v>
      </c>
      <c r="V22" s="215">
        <f>IFERROR(($S$21/$V11), "")</f>
        <v>1450.6769825918761</v>
      </c>
      <c r="W22" s="215">
        <f t="shared" si="5"/>
        <v>7253.38491295938</v>
      </c>
      <c r="X22" s="215">
        <f t="shared" si="5"/>
        <v>14506.76982591876</v>
      </c>
      <c r="Y22" s="218">
        <f t="shared" si="5"/>
        <v>29013.53965183752</v>
      </c>
    </row>
    <row r="23" spans="1:25" s="19" customFormat="1" ht="19.5" customHeight="1" x14ac:dyDescent="0.25">
      <c r="B23" s="24" t="s">
        <v>94</v>
      </c>
      <c r="C23" s="454" t="s">
        <v>116</v>
      </c>
      <c r="D23" s="452" t="str">
        <f>_xlfn.XLOOKUP($B23,Tox_Table[Code],Tox_Table[Health Effect])</f>
        <v>Phthalate syndrome-related effects</v>
      </c>
      <c r="E23" s="452">
        <f>_xlfn.XLOOKUP($B23,Tox_Table[Code],Tox_Table[Endpoint])</f>
        <v>0</v>
      </c>
      <c r="F23" s="444">
        <f>_xlfn.XLOOKUP($B23,Tox_Table[Code],Tox_Table[Study])</f>
        <v>0</v>
      </c>
      <c r="G23" s="43"/>
      <c r="H23" s="473">
        <f>_xlfn.XLOOKUP($B23, Tox_Table[Code],Tox_Table[HED / POD (mg/kg/day)], FALSE)</f>
        <v>2.4</v>
      </c>
      <c r="I23" s="235" t="s">
        <v>67</v>
      </c>
      <c r="J23" s="298">
        <f>_xlfn.XLOOKUP($B23,Tox_Table[Code],Tox_Table[Benchmark MOE])</f>
        <v>30</v>
      </c>
      <c r="K23" s="45">
        <f>IFERROR($H23/$M10, "")</f>
        <v>5.6063999999999998</v>
      </c>
      <c r="L23" s="45">
        <f t="shared" ref="L23:Q24" si="7">IFERROR($H$23/($M10/L$18), "")</f>
        <v>28.032</v>
      </c>
      <c r="M23" s="45">
        <f t="shared" si="7"/>
        <v>56.064</v>
      </c>
      <c r="N23" s="45">
        <f t="shared" si="7"/>
        <v>140.16</v>
      </c>
      <c r="O23" s="45">
        <f t="shared" si="7"/>
        <v>280.32</v>
      </c>
      <c r="P23" s="45">
        <f t="shared" ref="P23" si="8">IFERROR($H$23/($M10/P$18), "")</f>
        <v>5606.4000000000005</v>
      </c>
      <c r="Q23" s="46">
        <f t="shared" si="7"/>
        <v>56064</v>
      </c>
      <c r="R23" s="43"/>
      <c r="S23" s="469">
        <f>_xlfn.XLOOKUP($B23, Tox_Table[Code],Tox_Table[HED / POD (mg/kg/day)], FALSE)</f>
        <v>2.4</v>
      </c>
      <c r="T23" s="44" t="s">
        <v>67</v>
      </c>
      <c r="U23" s="298">
        <f>_xlfn.XLOOKUP($B23,Tox_Table[Code],Tox_Table[Benchmark MOE])</f>
        <v>30</v>
      </c>
      <c r="V23" s="45">
        <f>IFERROR(($S$23/$W10), "")</f>
        <v>776.42366496787054</v>
      </c>
      <c r="W23" s="45">
        <f t="shared" ref="W23:Y24" si="9">IFERROR(($S$23/($W10/W$18)), "")</f>
        <v>3882.1183248393531</v>
      </c>
      <c r="X23" s="45">
        <f t="shared" si="9"/>
        <v>7764.2366496787063</v>
      </c>
      <c r="Y23" s="46">
        <f t="shared" si="9"/>
        <v>15528.473299357413</v>
      </c>
    </row>
    <row r="24" spans="1:25" s="19" customFormat="1" ht="19.5" customHeight="1" thickBot="1" x14ac:dyDescent="0.3">
      <c r="B24" s="24" t="s">
        <v>94</v>
      </c>
      <c r="C24" s="455"/>
      <c r="D24" s="468"/>
      <c r="E24" s="468"/>
      <c r="F24" s="472"/>
      <c r="G24" s="43"/>
      <c r="H24" s="474"/>
      <c r="I24" s="346" t="s">
        <v>68</v>
      </c>
      <c r="J24" s="347">
        <f>_xlfn.XLOOKUP($B24,Tox_Table[Code],Tox_Table[Benchmark MOE])</f>
        <v>30</v>
      </c>
      <c r="K24" s="348">
        <f>IFERROR($H23/$M11, "")</f>
        <v>58.4</v>
      </c>
      <c r="L24" s="348">
        <f t="shared" si="7"/>
        <v>292</v>
      </c>
      <c r="M24" s="348">
        <f t="shared" si="7"/>
        <v>584</v>
      </c>
      <c r="N24" s="348">
        <f t="shared" si="7"/>
        <v>1460</v>
      </c>
      <c r="O24" s="348">
        <f t="shared" si="7"/>
        <v>2920</v>
      </c>
      <c r="P24" s="348">
        <f t="shared" ref="P24" si="10">IFERROR($H$23/($M11/P$18), "")</f>
        <v>58400.000000000007</v>
      </c>
      <c r="Q24" s="349">
        <f t="shared" si="7"/>
        <v>584000</v>
      </c>
      <c r="R24" s="43"/>
      <c r="S24" s="471"/>
      <c r="T24" s="350" t="s">
        <v>68</v>
      </c>
      <c r="U24" s="337">
        <f>_xlfn.XLOOKUP($B24,Tox_Table[Code],Tox_Table[Benchmark MOE])</f>
        <v>30</v>
      </c>
      <c r="V24" s="348">
        <f>IFERROR(($S$23/$W11), "")</f>
        <v>1553.191489361702</v>
      </c>
      <c r="W24" s="348">
        <f t="shared" si="9"/>
        <v>7765.9574468085102</v>
      </c>
      <c r="X24" s="348">
        <f t="shared" si="9"/>
        <v>15531.91489361702</v>
      </c>
      <c r="Y24" s="349">
        <f t="shared" si="9"/>
        <v>31063.829787234041</v>
      </c>
    </row>
    <row r="25" spans="1:25" s="19" customFormat="1" x14ac:dyDescent="0.25">
      <c r="B25" s="14"/>
      <c r="C25" s="351"/>
      <c r="D25" s="352"/>
      <c r="E25" s="351"/>
      <c r="F25" s="351"/>
      <c r="G25" s="353"/>
      <c r="H25" s="353"/>
      <c r="I25" s="353"/>
      <c r="J25" s="353"/>
      <c r="K25" s="353"/>
      <c r="L25" s="353"/>
      <c r="M25" s="353"/>
      <c r="N25" s="354"/>
      <c r="O25" s="353"/>
      <c r="P25" s="353"/>
      <c r="Q25" s="353"/>
      <c r="R25" s="354"/>
      <c r="S25" s="353"/>
      <c r="T25" s="354"/>
      <c r="U25" s="354"/>
      <c r="V25" s="354"/>
      <c r="W25" s="354"/>
      <c r="X25" s="354"/>
      <c r="Y25" s="354"/>
    </row>
    <row r="26" spans="1:25" s="19" customFormat="1" x14ac:dyDescent="0.25">
      <c r="B26" s="14"/>
      <c r="C26" s="15"/>
      <c r="D26" s="16"/>
      <c r="E26" s="15"/>
      <c r="F26" s="15"/>
      <c r="G26" s="17"/>
      <c r="H26" s="17"/>
      <c r="I26" s="17"/>
      <c r="J26" s="17"/>
      <c r="K26" s="17"/>
      <c r="L26" s="17"/>
      <c r="M26" s="17"/>
      <c r="N26" s="17"/>
      <c r="O26" s="17"/>
      <c r="P26" s="17"/>
      <c r="Q26" s="17"/>
      <c r="S26" s="17"/>
    </row>
    <row r="27" spans="1:25" s="19" customFormat="1" x14ac:dyDescent="0.25">
      <c r="B27" s="14"/>
      <c r="C27" s="15"/>
      <c r="D27" s="16"/>
      <c r="E27" s="15"/>
      <c r="F27" s="15"/>
      <c r="G27" s="17"/>
      <c r="H27" s="17"/>
      <c r="I27" s="17"/>
      <c r="J27" s="17"/>
      <c r="K27" s="17"/>
      <c r="L27" s="17"/>
      <c r="M27" s="17"/>
      <c r="N27" s="17"/>
      <c r="O27" s="17"/>
      <c r="P27" s="17"/>
      <c r="Q27" s="17"/>
      <c r="S27" s="17"/>
      <c r="T27" s="17"/>
    </row>
    <row r="28" spans="1:25" s="19" customFormat="1" x14ac:dyDescent="0.25">
      <c r="A28" s="17"/>
      <c r="B28" s="14"/>
      <c r="C28" s="15"/>
      <c r="D28" s="16"/>
      <c r="E28" s="15"/>
      <c r="F28" s="15"/>
      <c r="G28" s="17"/>
      <c r="H28" s="17"/>
      <c r="I28" s="17"/>
      <c r="J28" s="17"/>
      <c r="K28" s="17"/>
      <c r="L28" s="17"/>
      <c r="M28" s="17"/>
      <c r="N28" s="17"/>
      <c r="O28" s="17"/>
      <c r="P28" s="17"/>
      <c r="Q28" s="17"/>
      <c r="S28" s="17"/>
      <c r="T28" s="17"/>
    </row>
    <row r="33" spans="1:21" x14ac:dyDescent="0.25">
      <c r="I33" s="19"/>
      <c r="J33" s="19"/>
      <c r="K33" s="19"/>
      <c r="L33" s="19"/>
      <c r="M33" s="19"/>
    </row>
    <row r="38" spans="1:21" x14ac:dyDescent="0.25">
      <c r="O38" s="19"/>
      <c r="P38" s="19"/>
      <c r="Q38" s="19"/>
    </row>
    <row r="39" spans="1:21" x14ac:dyDescent="0.25">
      <c r="C39" s="21"/>
      <c r="D39" s="30"/>
      <c r="E39" s="21"/>
      <c r="F39" s="21"/>
      <c r="G39" s="19"/>
      <c r="H39" s="19"/>
    </row>
    <row r="40" spans="1:21" x14ac:dyDescent="0.25">
      <c r="S40" s="19"/>
    </row>
    <row r="41" spans="1:21" x14ac:dyDescent="0.25">
      <c r="B41" s="26"/>
    </row>
    <row r="42" spans="1:21" x14ac:dyDescent="0.25">
      <c r="B42" s="47"/>
    </row>
    <row r="43" spans="1:21" x14ac:dyDescent="0.25">
      <c r="B43" s="47"/>
      <c r="I43" s="48"/>
      <c r="J43" s="48"/>
      <c r="K43" s="48"/>
      <c r="L43" s="48"/>
      <c r="M43" s="48"/>
      <c r="N43" s="19"/>
    </row>
    <row r="44" spans="1:21" x14ac:dyDescent="0.25">
      <c r="B44" s="47"/>
      <c r="I44" s="48"/>
      <c r="J44" s="48"/>
      <c r="K44" s="48"/>
      <c r="L44" s="48"/>
      <c r="M44" s="48"/>
      <c r="T44" s="19"/>
    </row>
    <row r="45" spans="1:21" x14ac:dyDescent="0.25">
      <c r="B45" s="47"/>
      <c r="C45" s="49"/>
      <c r="D45" s="50"/>
      <c r="E45" s="49"/>
      <c r="I45" s="48"/>
      <c r="J45" s="48"/>
      <c r="K45" s="48"/>
      <c r="L45" s="48"/>
      <c r="M45" s="48"/>
    </row>
    <row r="46" spans="1:21" s="19" customFormat="1" x14ac:dyDescent="0.25">
      <c r="A46" s="17"/>
      <c r="B46" s="47"/>
      <c r="C46" s="15"/>
      <c r="D46" s="16"/>
      <c r="E46" s="49"/>
      <c r="F46" s="15"/>
      <c r="G46" s="17"/>
      <c r="H46" s="17"/>
      <c r="I46" s="48"/>
      <c r="J46" s="48"/>
      <c r="K46" s="48"/>
      <c r="L46" s="48"/>
      <c r="M46" s="48"/>
      <c r="N46" s="17"/>
      <c r="O46" s="17"/>
      <c r="P46" s="17"/>
      <c r="Q46" s="17"/>
      <c r="S46" s="17"/>
      <c r="T46" s="17"/>
    </row>
    <row r="47" spans="1:21" x14ac:dyDescent="0.25">
      <c r="S47" s="51"/>
      <c r="T47" s="51"/>
      <c r="U47" s="51"/>
    </row>
    <row r="48" spans="1:21" x14ac:dyDescent="0.25">
      <c r="F48" s="48"/>
      <c r="G48" s="51"/>
      <c r="H48" s="210"/>
      <c r="I48" s="211"/>
      <c r="J48" s="211"/>
      <c r="S48" s="210"/>
      <c r="T48" s="211"/>
      <c r="U48" s="211"/>
    </row>
    <row r="49" spans="1:21" x14ac:dyDescent="0.25">
      <c r="H49" s="29"/>
      <c r="I49" s="208"/>
      <c r="J49" s="208"/>
      <c r="S49" s="212"/>
      <c r="T49" s="209"/>
      <c r="U49" s="209"/>
    </row>
    <row r="50" spans="1:21" x14ac:dyDescent="0.25">
      <c r="A50" s="17" t="s">
        <v>117</v>
      </c>
      <c r="H50" s="29"/>
      <c r="I50" s="208"/>
      <c r="J50" s="208"/>
      <c r="S50" s="212"/>
      <c r="T50" s="208"/>
      <c r="U50" s="208"/>
    </row>
    <row r="51" spans="1:21" x14ac:dyDescent="0.25">
      <c r="H51" s="29"/>
      <c r="I51" s="208"/>
      <c r="J51" s="208"/>
      <c r="S51" s="212"/>
      <c r="T51" s="208"/>
      <c r="U51" s="208"/>
    </row>
    <row r="52" spans="1:21" x14ac:dyDescent="0.25">
      <c r="H52" s="29"/>
      <c r="I52" s="208"/>
      <c r="J52" s="208"/>
      <c r="S52" s="212"/>
      <c r="T52" s="208"/>
      <c r="U52" s="208"/>
    </row>
    <row r="53" spans="1:21" x14ac:dyDescent="0.25">
      <c r="H53" s="29"/>
      <c r="I53" s="208"/>
      <c r="J53" s="208"/>
      <c r="S53" s="212"/>
      <c r="T53" s="208"/>
      <c r="U53" s="208"/>
    </row>
    <row r="54" spans="1:21" x14ac:dyDescent="0.25">
      <c r="H54" s="29"/>
      <c r="I54" s="208"/>
      <c r="J54" s="208"/>
      <c r="U54" s="209"/>
    </row>
  </sheetData>
  <sheetProtection sheet="1" objects="1" scenarios="1" formatCells="0" formatColumns="0" formatRows="0"/>
  <dataConsolidate link="1"/>
  <mergeCells count="43">
    <mergeCell ref="C23:C24"/>
    <mergeCell ref="D23:D24"/>
    <mergeCell ref="E23:E24"/>
    <mergeCell ref="S19:S20"/>
    <mergeCell ref="S23:S24"/>
    <mergeCell ref="S21:S22"/>
    <mergeCell ref="F23:F24"/>
    <mergeCell ref="H23:H24"/>
    <mergeCell ref="H19:H20"/>
    <mergeCell ref="F21:F22"/>
    <mergeCell ref="H21:H22"/>
    <mergeCell ref="C21:C22"/>
    <mergeCell ref="D21:D22"/>
    <mergeCell ref="E21:E22"/>
    <mergeCell ref="V16:Y16"/>
    <mergeCell ref="T8:T9"/>
    <mergeCell ref="S8:S9"/>
    <mergeCell ref="J16:J18"/>
    <mergeCell ref="K16:Q16"/>
    <mergeCell ref="U16:U18"/>
    <mergeCell ref="S16:S18"/>
    <mergeCell ref="T16:T18"/>
    <mergeCell ref="L15:M15"/>
    <mergeCell ref="S12:S13"/>
    <mergeCell ref="V17:V18"/>
    <mergeCell ref="W17:Y17"/>
    <mergeCell ref="L17:Q17"/>
    <mergeCell ref="J8:J9"/>
    <mergeCell ref="S10:S11"/>
    <mergeCell ref="C16:C18"/>
    <mergeCell ref="D16:E18"/>
    <mergeCell ref="E19:E20"/>
    <mergeCell ref="I10:I11"/>
    <mergeCell ref="I8:I9"/>
    <mergeCell ref="C19:C20"/>
    <mergeCell ref="D19:D20"/>
    <mergeCell ref="D2:E2"/>
    <mergeCell ref="D3:E3"/>
    <mergeCell ref="D4:E4"/>
    <mergeCell ref="I16:I18"/>
    <mergeCell ref="F19:F20"/>
    <mergeCell ref="F16:F18"/>
    <mergeCell ref="H16:H18"/>
  </mergeCells>
  <phoneticPr fontId="2" type="noConversion"/>
  <conditionalFormatting sqref="D19:F24">
    <cfRule type="cellIs" priority="1" operator="equal">
      <formula>0</formula>
    </cfRule>
  </conditionalFormatting>
  <conditionalFormatting sqref="F4">
    <cfRule type="cellIs" dxfId="238" priority="22" operator="lessThan">
      <formula>0.1</formula>
    </cfRule>
    <cfRule type="cellIs" dxfId="237" priority="20" stopIfTrue="1" operator="equal">
      <formula>0</formula>
    </cfRule>
    <cfRule type="containsBlanks" dxfId="236" priority="21" stopIfTrue="1">
      <formula>LEN(TRIM(F4))=0</formula>
    </cfRule>
  </conditionalFormatting>
  <conditionalFormatting sqref="H19 H23">
    <cfRule type="cellIs" dxfId="235" priority="118" operator="greaterThanOrEqual">
      <formula>10</formula>
    </cfRule>
    <cfRule type="cellIs" dxfId="234" priority="116" operator="lessThan">
      <formula>0.1</formula>
    </cfRule>
    <cfRule type="containsBlanks" dxfId="233" priority="115" stopIfTrue="1">
      <formula>LEN(TRIM(H19))=0</formula>
    </cfRule>
    <cfRule type="cellIs" dxfId="232" priority="114" stopIfTrue="1" operator="equal">
      <formula>0</formula>
    </cfRule>
    <cfRule type="cellIs" dxfId="231" priority="117" operator="lessThan">
      <formula>10</formula>
    </cfRule>
  </conditionalFormatting>
  <conditionalFormatting sqref="H21">
    <cfRule type="cellIs" dxfId="230" priority="76" operator="lessThan">
      <formula>10</formula>
    </cfRule>
    <cfRule type="cellIs" dxfId="229" priority="75" operator="lessThan">
      <formula>0.1</formula>
    </cfRule>
    <cfRule type="containsBlanks" dxfId="228" priority="74" stopIfTrue="1">
      <formula>LEN(TRIM(H21))=0</formula>
    </cfRule>
    <cfRule type="cellIs" dxfId="227" priority="73" stopIfTrue="1" operator="equal">
      <formula>0</formula>
    </cfRule>
    <cfRule type="cellIs" dxfId="226" priority="77" operator="greaterThanOrEqual">
      <formula>10</formula>
    </cfRule>
  </conditionalFormatting>
  <conditionalFormatting sqref="K10:N11">
    <cfRule type="cellIs" dxfId="225" priority="3" operator="greaterThan">
      <formula>10000</formula>
    </cfRule>
    <cfRule type="cellIs" dxfId="224" priority="4" operator="between">
      <formula>10</formula>
      <formula>9999.999</formula>
    </cfRule>
    <cfRule type="cellIs" dxfId="223" priority="5" operator="between">
      <formula>1</formula>
      <formula>9.999</formula>
    </cfRule>
    <cfRule type="cellIs" dxfId="222" priority="6" operator="between">
      <formula>0.1</formula>
      <formula>0.999</formula>
    </cfRule>
    <cfRule type="cellIs" dxfId="221" priority="7" operator="equal">
      <formula>0</formula>
    </cfRule>
    <cfRule type="cellIs" dxfId="220" priority="170" operator="lessThan">
      <formula>0.1</formula>
    </cfRule>
  </conditionalFormatting>
  <conditionalFormatting sqref="K13:N13">
    <cfRule type="cellIs" dxfId="219" priority="62" operator="between">
      <formula>1</formula>
      <formula>9.999</formula>
    </cfRule>
    <cfRule type="cellIs" dxfId="218" priority="59" operator="equal">
      <formula>0</formula>
    </cfRule>
    <cfRule type="cellIs" dxfId="217" priority="60" operator="greaterThan">
      <formula>10000</formula>
    </cfRule>
    <cfRule type="cellIs" dxfId="216" priority="61" operator="between">
      <formula>10</formula>
      <formula>9999.999</formula>
    </cfRule>
    <cfRule type="cellIs" dxfId="215" priority="64" operator="lessThan">
      <formula>0.1</formula>
    </cfRule>
    <cfRule type="cellIs" dxfId="214" priority="63" operator="between">
      <formula>0.1</formula>
      <formula>0.999</formula>
    </cfRule>
  </conditionalFormatting>
  <conditionalFormatting sqref="K19:Q24 V19:Y24">
    <cfRule type="cellIs" dxfId="213" priority="144" operator="greaterThanOrEqual">
      <formula>10</formula>
    </cfRule>
    <cfRule type="cellIs" dxfId="212" priority="143" operator="lessThan">
      <formula>10</formula>
    </cfRule>
    <cfRule type="cellIs" dxfId="211" priority="142" operator="lessThan">
      <formula>0.1</formula>
    </cfRule>
    <cfRule type="cellIs" dxfId="210" priority="47" stopIfTrue="1" operator="equal">
      <formula>0</formula>
    </cfRule>
  </conditionalFormatting>
  <conditionalFormatting sqref="K19:Q24">
    <cfRule type="cellIs" dxfId="209" priority="139" operator="greaterThanOrEqual">
      <formula>$J19</formula>
    </cfRule>
    <cfRule type="cellIs" dxfId="208" priority="138" operator="lessThan">
      <formula>$J19</formula>
    </cfRule>
  </conditionalFormatting>
  <conditionalFormatting sqref="L8:L9">
    <cfRule type="cellIs" dxfId="207" priority="96" stopIfTrue="1" operator="equal">
      <formula>0</formula>
    </cfRule>
    <cfRule type="cellIs" dxfId="206" priority="98" operator="lessThan">
      <formula>0.1</formula>
    </cfRule>
    <cfRule type="containsBlanks" dxfId="205" priority="97" stopIfTrue="1">
      <formula>LEN(TRIM(L8))=0</formula>
    </cfRule>
  </conditionalFormatting>
  <conditionalFormatting sqref="S19 S23">
    <cfRule type="cellIs" dxfId="204" priority="106" operator="lessThan">
      <formula>0.1</formula>
    </cfRule>
    <cfRule type="cellIs" dxfId="203" priority="107" operator="lessThan">
      <formula>10</formula>
    </cfRule>
    <cfRule type="cellIs" dxfId="202" priority="108" operator="greaterThanOrEqual">
      <formula>10</formula>
    </cfRule>
    <cfRule type="containsBlanks" dxfId="201" priority="105" stopIfTrue="1">
      <formula>LEN(TRIM(S19))=0</formula>
    </cfRule>
    <cfRule type="cellIs" dxfId="200" priority="104" stopIfTrue="1" operator="equal">
      <formula>0</formula>
    </cfRule>
  </conditionalFormatting>
  <conditionalFormatting sqref="S21">
    <cfRule type="cellIs" dxfId="199" priority="68" stopIfTrue="1" operator="equal">
      <formula>0</formula>
    </cfRule>
    <cfRule type="containsBlanks" dxfId="198" priority="69" stopIfTrue="1">
      <formula>LEN(TRIM(S21))=0</formula>
    </cfRule>
    <cfRule type="cellIs" dxfId="197" priority="70" operator="lessThan">
      <formula>0.1</formula>
    </cfRule>
    <cfRule type="cellIs" dxfId="196" priority="71" operator="lessThan">
      <formula>10</formula>
    </cfRule>
    <cfRule type="cellIs" dxfId="195" priority="72" operator="greaterThanOrEqual">
      <formula>10</formula>
    </cfRule>
  </conditionalFormatting>
  <conditionalFormatting sqref="U10:X11">
    <cfRule type="cellIs" dxfId="194" priority="8" operator="equal">
      <formula>0</formula>
    </cfRule>
  </conditionalFormatting>
  <conditionalFormatting sqref="U10:X13">
    <cfRule type="cellIs" dxfId="193" priority="10" operator="between">
      <formula>10</formula>
      <formula>9999.999</formula>
    </cfRule>
    <cfRule type="cellIs" dxfId="192" priority="11" operator="between">
      <formula>1</formula>
      <formula>9.999</formula>
    </cfRule>
    <cfRule type="cellIs" dxfId="191" priority="12" operator="between">
      <formula>0.1</formula>
      <formula>0.999</formula>
    </cfRule>
    <cfRule type="cellIs" dxfId="190" priority="9" operator="greaterThan">
      <formula>10000</formula>
    </cfRule>
    <cfRule type="cellIs" dxfId="189" priority="13" operator="lessThan">
      <formula>0.1</formula>
    </cfRule>
  </conditionalFormatting>
  <conditionalFormatting sqref="V8:V9">
    <cfRule type="containsBlanks" dxfId="188" priority="79" stopIfTrue="1">
      <formula>LEN(TRIM(V8))=0</formula>
    </cfRule>
    <cfRule type="cellIs" dxfId="187" priority="80" operator="lessThan">
      <formula>0.1</formula>
    </cfRule>
    <cfRule type="cellIs" dxfId="186" priority="78" stopIfTrue="1" operator="equal">
      <formula>0</formula>
    </cfRule>
  </conditionalFormatting>
  <conditionalFormatting sqref="V19:Y24 K19:Q24">
    <cfRule type="containsBlanks" dxfId="185" priority="46" stopIfTrue="1">
      <formula>LEN(TRIM(K19))=0</formula>
    </cfRule>
  </conditionalFormatting>
  <conditionalFormatting sqref="V19:Y24">
    <cfRule type="cellIs" dxfId="184" priority="45" operator="greaterThanOrEqual">
      <formula>$J19</formula>
    </cfRule>
    <cfRule type="cellIs" dxfId="183" priority="44" operator="lessThan">
      <formula>$J19</formula>
    </cfRule>
  </conditionalFormatting>
  <dataValidations count="1">
    <dataValidation allowBlank="1" showErrorMessage="1" sqref="I13 I8 S8" xr:uid="{B6FDB558-C6DA-450F-B0A7-6A9F371395FE}"/>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52F1E36-23C0-46BD-94ED-210B8C9D18DC}">
          <x14:formula1>
            <xm:f>'List Values'!$D$6:$D$8</xm:f>
          </x14:formula1>
          <xm:sqref>F4</xm:sqref>
        </x14:dataValidation>
        <x14:dataValidation type="list" allowBlank="1" showInputMessage="1" showErrorMessage="1" xr:uid="{EEB43209-65D0-4ECD-98C8-2D730F6098A1}">
          <x14:formula1>
            <xm:f>'List Values'!$B$2:$B$19</xm:f>
          </x14:formula1>
          <xm:sqref>C4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3F8EF-0238-48DF-B0F9-9BD2EA206E1A}">
  <sheetPr codeName="Sheet11">
    <tabColor rgb="FF92D050"/>
  </sheetPr>
  <dimension ref="A1:W71"/>
  <sheetViews>
    <sheetView zoomScaleNormal="100" workbookViewId="0"/>
  </sheetViews>
  <sheetFormatPr defaultColWidth="8.85546875" defaultRowHeight="12.75" x14ac:dyDescent="0.25"/>
  <cols>
    <col min="1" max="1" width="2.140625" style="17" customWidth="1"/>
    <col min="2" max="2" width="8.42578125" style="14" customWidth="1"/>
    <col min="3" max="3" width="20.85546875" style="15" customWidth="1"/>
    <col min="4" max="4" width="15.42578125" style="16" customWidth="1"/>
    <col min="5" max="5" width="11.42578125" style="15" customWidth="1"/>
    <col min="6" max="6" width="11.5703125" style="15" customWidth="1"/>
    <col min="7" max="7" width="2.28515625" style="17" customWidth="1"/>
    <col min="8" max="8" width="10.42578125" style="17" customWidth="1"/>
    <col min="9" max="9" width="9.85546875" style="15" customWidth="1"/>
    <col min="10" max="10" width="10.140625" style="17" bestFit="1" customWidth="1"/>
    <col min="11" max="11" width="14.42578125" style="17" customWidth="1"/>
    <col min="12" max="12" width="22.5703125" style="17" customWidth="1"/>
    <col min="13" max="13" width="18.140625" style="17" customWidth="1"/>
    <col min="14" max="14" width="18.85546875" style="17" customWidth="1"/>
    <col min="15" max="15" width="21.140625" style="17" customWidth="1"/>
    <col min="16" max="18" width="18.85546875" style="17" customWidth="1"/>
    <col min="19" max="19" width="23.140625" style="17" customWidth="1"/>
    <col min="20" max="20" width="18.140625" style="17" customWidth="1"/>
    <col min="21" max="21" width="21.140625" style="17" customWidth="1"/>
    <col min="22" max="22" width="17.140625" style="17" customWidth="1"/>
    <col min="23" max="23" width="17.5703125" style="17" customWidth="1"/>
    <col min="24" max="24" width="16.85546875" style="17" customWidth="1"/>
    <col min="25" max="25" width="17" style="17" customWidth="1"/>
    <col min="26" max="26" width="13.140625" style="17" customWidth="1"/>
    <col min="27" max="16384" width="8.85546875" style="17"/>
  </cols>
  <sheetData>
    <row r="1" spans="2:23" ht="13.5" thickBot="1" x14ac:dyDescent="0.3"/>
    <row r="2" spans="2:23" ht="27.75" customHeight="1" thickBot="1" x14ac:dyDescent="0.3">
      <c r="C2" s="75" t="s">
        <v>43</v>
      </c>
      <c r="D2" s="442" t="s">
        <v>44</v>
      </c>
      <c r="E2" s="443"/>
      <c r="F2" s="18" t="s">
        <v>46</v>
      </c>
      <c r="L2" s="185" t="s">
        <v>97</v>
      </c>
      <c r="M2" s="185"/>
      <c r="N2" s="26"/>
      <c r="O2" s="19"/>
      <c r="P2" s="21"/>
      <c r="Q2" s="21"/>
      <c r="R2" s="21"/>
      <c r="T2" s="15"/>
      <c r="U2" s="21"/>
      <c r="V2" s="19"/>
      <c r="W2" s="19"/>
    </row>
    <row r="3" spans="2:23" ht="39" thickBot="1" x14ac:dyDescent="0.3">
      <c r="C3" s="76" t="s">
        <v>47</v>
      </c>
      <c r="D3" s="412" t="s">
        <v>48</v>
      </c>
      <c r="E3" s="426"/>
      <c r="F3" s="79" t="s">
        <v>51</v>
      </c>
      <c r="G3" s="15"/>
      <c r="I3" s="17"/>
      <c r="K3" s="186"/>
      <c r="L3" s="186" t="s">
        <v>55</v>
      </c>
    </row>
    <row r="4" spans="2:23" ht="26.25" thickBot="1" x14ac:dyDescent="0.3">
      <c r="C4" s="23" t="s">
        <v>155</v>
      </c>
      <c r="D4" s="424" t="str">
        <f>_xlfn.XLOOKUP($C$4,Inhalation_Exp[OES],Inhalation_Exp[Data Type])</f>
        <v>Modeled Data</v>
      </c>
      <c r="E4" s="507"/>
      <c r="F4" s="82" t="s">
        <v>52</v>
      </c>
      <c r="G4" s="15"/>
      <c r="H4" s="15"/>
      <c r="L4" s="429" t="s">
        <v>118</v>
      </c>
      <c r="M4" s="405" t="s">
        <v>57</v>
      </c>
      <c r="N4" s="293" t="s">
        <v>98</v>
      </c>
      <c r="O4" s="293" t="s">
        <v>59</v>
      </c>
      <c r="P4" s="335" t="s">
        <v>99</v>
      </c>
      <c r="Q4" s="388"/>
      <c r="R4" s="386"/>
    </row>
    <row r="5" spans="2:23" ht="26.25" thickBot="1" x14ac:dyDescent="0.3">
      <c r="G5" s="21"/>
      <c r="H5" s="378"/>
      <c r="I5" s="21"/>
      <c r="J5" s="19"/>
      <c r="L5" s="430"/>
      <c r="M5" s="419"/>
      <c r="N5" s="294" t="s">
        <v>119</v>
      </c>
      <c r="O5" s="294" t="s">
        <v>63</v>
      </c>
      <c r="P5" s="336" t="s">
        <v>120</v>
      </c>
      <c r="Q5" s="388"/>
      <c r="R5" s="386"/>
    </row>
    <row r="6" spans="2:23" ht="18" customHeight="1" x14ac:dyDescent="0.25">
      <c r="L6" s="435" t="str">
        <f>$F$4</f>
        <v>Average Adult Worker</v>
      </c>
      <c r="M6" s="193" t="s">
        <v>67</v>
      </c>
      <c r="N6" s="216">
        <f>SUMIFS(Inhalation_Exp[24hr_High-End],Inhalation_Exp[OES],$C$4,Inhalation_Exp[Worker Type],$L6,Inhalation_Exp[Data Type],$D$4)</f>
        <v>0.375</v>
      </c>
      <c r="O6" s="216">
        <f>SUMIFS(Inhalation_Exp[Int_High-End],Inhalation_Exp[OES],$C$4,Inhalation_Exp[Worker Type],$L6,Inhalation_Exp[Data Type],$D$4)</f>
        <v>0.27500000000000002</v>
      </c>
      <c r="P6" s="338">
        <f>SUMIFS(Inhalation_Exp[ADD_High-End],Inhalation_Exp[OES],$C$4,Inhalation_Exp[Worker Type],$L6,Inhalation_Exp[Data Type],$D$4)</f>
        <v>0.25684931506849318</v>
      </c>
      <c r="Q6" s="389"/>
      <c r="R6" s="387"/>
    </row>
    <row r="7" spans="2:23" ht="15" customHeight="1" thickBot="1" x14ac:dyDescent="0.3">
      <c r="L7" s="436"/>
      <c r="M7" s="194" t="s">
        <v>68</v>
      </c>
      <c r="N7" s="217">
        <f>SUMIFS(Inhalation_Exp[24hr_Central Tendency],Inhalation_Exp[OES],$C$4,Inhalation_Exp[Worker Type],$L6,Inhalation_Exp[Data Type],$D$4)</f>
        <v>1.6250000000000001E-2</v>
      </c>
      <c r="O7" s="217">
        <f>SUMIFS(Inhalation_Exp[Int_Central Tendency],Inhalation_Exp[OES],$C$4,Inhalation_Exp[Worker Type],$L6,Inhalation_Exp[Data Type],$D$4)</f>
        <v>1.1916666666666667E-2</v>
      </c>
      <c r="P7" s="339">
        <f>SUMIFS(Inhalation_Exp[ADD_Central Tendency],Inhalation_Exp[OES],$C$4,Inhalation_Exp[Worker Type],$L6,Inhalation_Exp[Data Type],$D$4)</f>
        <v>9.2602739726027391E-3</v>
      </c>
      <c r="Q7" s="389"/>
      <c r="R7" s="387"/>
    </row>
    <row r="8" spans="2:23" ht="15.75" x14ac:dyDescent="0.25">
      <c r="C8" s="17"/>
      <c r="D8" s="17"/>
      <c r="E8" s="17"/>
      <c r="F8" s="17"/>
      <c r="L8" s="185" t="s">
        <v>46</v>
      </c>
      <c r="Q8" s="342"/>
      <c r="R8" s="342"/>
    </row>
    <row r="9" spans="2:23" ht="25.5" customHeight="1" thickBot="1" x14ac:dyDescent="0.3">
      <c r="C9" s="17"/>
      <c r="D9" s="17"/>
      <c r="E9" s="17"/>
      <c r="H9" s="14"/>
      <c r="L9" s="186" t="s">
        <v>55</v>
      </c>
      <c r="Q9" s="342"/>
      <c r="R9" s="342"/>
    </row>
    <row r="10" spans="2:23" ht="25.5" x14ac:dyDescent="0.25">
      <c r="C10" s="17"/>
      <c r="D10" s="17"/>
      <c r="E10" s="17"/>
      <c r="H10" s="14"/>
      <c r="L10" s="429" t="s">
        <v>118</v>
      </c>
      <c r="M10" s="405" t="s">
        <v>57</v>
      </c>
      <c r="N10" s="293" t="s">
        <v>100</v>
      </c>
      <c r="O10" s="293" t="s">
        <v>59</v>
      </c>
      <c r="P10" s="335" t="s">
        <v>101</v>
      </c>
      <c r="Q10" s="388"/>
      <c r="R10" s="386"/>
    </row>
    <row r="11" spans="2:23" ht="13.5" thickBot="1" x14ac:dyDescent="0.3">
      <c r="H11" s="14"/>
      <c r="L11" s="430"/>
      <c r="M11" s="419"/>
      <c r="N11" s="294" t="s">
        <v>102</v>
      </c>
      <c r="O11" s="294" t="s">
        <v>63</v>
      </c>
      <c r="P11" s="336" t="s">
        <v>103</v>
      </c>
      <c r="Q11" s="388"/>
      <c r="R11" s="386"/>
    </row>
    <row r="12" spans="2:23" ht="12.75" customHeight="1" thickBot="1" x14ac:dyDescent="0.3">
      <c r="H12" s="14"/>
      <c r="L12" s="435" t="str">
        <f>$F$4</f>
        <v>Average Adult Worker</v>
      </c>
      <c r="M12" s="193" t="s">
        <v>67</v>
      </c>
      <c r="N12" s="226">
        <f>SUMIFS(Dermal_Exp[High-End AD (mg/kg-day)],Dermal_Exp[Worker Type],$L$12,Dermal_Exp[OES],$C$4)</f>
        <v>4.5129999999999997E-3</v>
      </c>
      <c r="O12" s="226">
        <f>SUMIFS(Dermal_Exp[High-End IADD (mg/kg-day)],Dermal_Exp[Worker Type],$L$12,Dermal_Exp[OES],$C$4)</f>
        <v>3.3095333333333326E-3</v>
      </c>
      <c r="P12" s="340">
        <f>SUMIFS(Dermal_Exp[High-End ADD (mg/kg-day)],Dermal_Exp[Worker Type],$L$12,Dermal_Exp[OES],$C$4)</f>
        <v>3.0910958904109588E-3</v>
      </c>
      <c r="Q12" s="389"/>
      <c r="R12" s="387"/>
    </row>
    <row r="13" spans="2:23" ht="15.75" customHeight="1" thickBot="1" x14ac:dyDescent="0.3">
      <c r="H13" s="14"/>
      <c r="L13" s="436"/>
      <c r="M13" s="194" t="s">
        <v>68</v>
      </c>
      <c r="N13" s="285">
        <f>SUMIFS(Dermal_Exp[Central Tendency AD (mg/kg-day)],Dermal_Exp[Worker Type],$L$12,Dermal_Exp[OES],$C$4)</f>
        <v>2.2560000000000002E-3</v>
      </c>
      <c r="O13" s="230">
        <f>SUMIFS(Dermal_Exp[Central Tendency IADD (mg/kg-day)],Dermal_Exp[Worker Type],$L$12,Dermal_Exp[OES],$C$4)</f>
        <v>1.6544000000000001E-3</v>
      </c>
      <c r="P13" s="341">
        <f>SUMIFS(Dermal_Exp[Central Tendency ADD (mg/kg-day)],Dermal_Exp[Worker Type],$L$12,Dermal_Exp[OES],$C$4)</f>
        <v>1.2856109589041097E-3</v>
      </c>
      <c r="Q13" s="389"/>
      <c r="R13" s="387"/>
    </row>
    <row r="14" spans="2:23" s="19" customFormat="1" ht="16.5" thickBot="1" x14ac:dyDescent="0.3">
      <c r="B14" s="26"/>
      <c r="C14" s="21"/>
      <c r="D14" s="31"/>
      <c r="E14" s="31"/>
      <c r="F14" s="31"/>
      <c r="G14" s="32"/>
      <c r="H14" s="187" t="s">
        <v>121</v>
      </c>
      <c r="I14" s="21"/>
      <c r="J14" s="21"/>
      <c r="L14" s="30"/>
      <c r="M14" s="459"/>
      <c r="N14" s="459"/>
      <c r="O14" s="296"/>
      <c r="P14" s="296"/>
      <c r="Q14" s="385"/>
      <c r="T14" s="233"/>
    </row>
    <row r="15" spans="2:23" s="19" customFormat="1" x14ac:dyDescent="0.25">
      <c r="B15" s="26"/>
      <c r="C15" s="449" t="s">
        <v>106</v>
      </c>
      <c r="D15" s="449" t="s">
        <v>107</v>
      </c>
      <c r="E15" s="449"/>
      <c r="F15" s="446" t="s">
        <v>108</v>
      </c>
      <c r="G15" s="34"/>
      <c r="H15" s="437" t="s">
        <v>74</v>
      </c>
      <c r="I15" s="403" t="s">
        <v>57</v>
      </c>
      <c r="J15" s="412" t="s">
        <v>75</v>
      </c>
      <c r="K15" s="457" t="str">
        <f>_xlfn.CONCAT("Exposure Estimates: ",$F$4," MOE")</f>
        <v>Exposure Estimates: Average Adult Worker MOE</v>
      </c>
      <c r="L15" s="500"/>
      <c r="M15" s="457"/>
      <c r="N15" s="457"/>
      <c r="O15" s="457"/>
      <c r="P15" s="457"/>
      <c r="Q15" s="457"/>
      <c r="R15" s="426"/>
      <c r="T15" s="233"/>
    </row>
    <row r="16" spans="2:23" s="19" customFormat="1" x14ac:dyDescent="0.25">
      <c r="B16" s="26"/>
      <c r="C16" s="450"/>
      <c r="D16" s="450"/>
      <c r="E16" s="450"/>
      <c r="F16" s="447"/>
      <c r="G16" s="35"/>
      <c r="H16" s="505"/>
      <c r="I16" s="418"/>
      <c r="J16" s="458"/>
      <c r="K16" s="464" t="s">
        <v>122</v>
      </c>
      <c r="L16" s="501" t="s">
        <v>113</v>
      </c>
      <c r="M16" s="464" t="s">
        <v>123</v>
      </c>
      <c r="N16" s="464"/>
      <c r="O16" s="464"/>
      <c r="P16" s="464"/>
      <c r="Q16" s="465"/>
      <c r="R16" s="503"/>
      <c r="T16" s="233"/>
    </row>
    <row r="17" spans="2:18" s="19" customFormat="1" ht="13.5" thickBot="1" x14ac:dyDescent="0.3">
      <c r="B17" s="26"/>
      <c r="C17" s="450"/>
      <c r="D17" s="450"/>
      <c r="E17" s="450"/>
      <c r="F17" s="447"/>
      <c r="G17" s="35"/>
      <c r="H17" s="506"/>
      <c r="I17" s="418"/>
      <c r="J17" s="422"/>
      <c r="K17" s="416"/>
      <c r="L17" s="502"/>
      <c r="M17" s="294">
        <f>'List Values'!$D$15</f>
        <v>5</v>
      </c>
      <c r="N17" s="294">
        <f>'List Values'!$D$16</f>
        <v>10</v>
      </c>
      <c r="O17" s="294">
        <f>'List Values'!$D$17</f>
        <v>25</v>
      </c>
      <c r="P17" s="294">
        <f>'List Values'!$D$18</f>
        <v>50</v>
      </c>
      <c r="Q17" s="384">
        <f>'List Values'!$D$19</f>
        <v>1000</v>
      </c>
      <c r="R17" s="27">
        <f>'List Values'!$D$20</f>
        <v>10000</v>
      </c>
    </row>
    <row r="18" spans="2:18" s="19" customFormat="1" x14ac:dyDescent="0.25">
      <c r="B18" s="477" t="s">
        <v>83</v>
      </c>
      <c r="C18" s="454" t="s">
        <v>114</v>
      </c>
      <c r="D18" s="478" t="str">
        <f>_xlfn.XLOOKUP($B18,Tox_Table[Code],Tox_Table[Health Effect])</f>
        <v>Phthalate syndrome-related effects</v>
      </c>
      <c r="E18" s="478">
        <f>_xlfn.XLOOKUP($B18,Tox_Table[Code],Tox_Table[Endpoint])</f>
        <v>0</v>
      </c>
      <c r="F18" s="492">
        <f>_xlfn.XLOOKUP($B18,Tox_Table[Code],Tox_Table[Study])</f>
        <v>0</v>
      </c>
      <c r="G18" s="37"/>
      <c r="H18" s="486">
        <f>_xlfn.XLOOKUP($B18, Tox_Table[Code],Tox_Table[HED / POD (mg/kg/day)], FALSE)</f>
        <v>2.4</v>
      </c>
      <c r="I18" s="489" t="s">
        <v>67</v>
      </c>
      <c r="J18" s="498">
        <f>_xlfn.XLOOKUP($B18,Tox_Table[Code],Tox_Table[Benchmark MOE])</f>
        <v>30</v>
      </c>
      <c r="K18" s="197" t="s">
        <v>111</v>
      </c>
      <c r="L18" s="38">
        <f>IFERROR($H$18/($N$6+$N$12),"")</f>
        <v>6.323894043155307</v>
      </c>
      <c r="M18" s="45">
        <f t="shared" ref="M18:R18" si="0">IFERROR($H$18/(($N$6/M$17)+$N$12),"")</f>
        <v>30.183743538792399</v>
      </c>
      <c r="N18" s="45">
        <f t="shared" si="0"/>
        <v>57.12517554090401</v>
      </c>
      <c r="O18" s="45">
        <f t="shared" si="0"/>
        <v>122.99492645928356</v>
      </c>
      <c r="P18" s="45">
        <f t="shared" si="0"/>
        <v>199.78356780154832</v>
      </c>
      <c r="Q18" s="45">
        <f t="shared" si="0"/>
        <v>490.99836333878886</v>
      </c>
      <c r="R18" s="46">
        <f t="shared" si="0"/>
        <v>527.4145698274915</v>
      </c>
    </row>
    <row r="19" spans="2:18" s="19" customFormat="1" x14ac:dyDescent="0.25">
      <c r="B19" s="477"/>
      <c r="C19" s="455"/>
      <c r="D19" s="479"/>
      <c r="E19" s="479"/>
      <c r="F19" s="485"/>
      <c r="G19" s="37"/>
      <c r="H19" s="481"/>
      <c r="I19" s="483"/>
      <c r="J19" s="499"/>
      <c r="K19" s="192">
        <f>'List Values'!$D$23</f>
        <v>5</v>
      </c>
      <c r="L19" s="191">
        <f>IFERROR($H$18/($N$6+$N$12/K19),"")</f>
        <v>6.3846326149380186</v>
      </c>
      <c r="M19" s="191">
        <f t="shared" ref="M19:R21" si="1">IFERROR($H$18/(($N$6/M$17)+$N$12/$K19),"")</f>
        <v>31.619470215776534</v>
      </c>
      <c r="N19" s="191">
        <f t="shared" si="1"/>
        <v>62.495768515673426</v>
      </c>
      <c r="O19" s="191">
        <f t="shared" si="1"/>
        <v>150.91871769396198</v>
      </c>
      <c r="P19" s="191">
        <f t="shared" si="1"/>
        <v>285.62587770452001</v>
      </c>
      <c r="Q19" s="191">
        <f t="shared" si="1"/>
        <v>1878.5222291797122</v>
      </c>
      <c r="R19" s="195">
        <f t="shared" si="1"/>
        <v>2552.9199021380705</v>
      </c>
    </row>
    <row r="20" spans="2:18" s="19" customFormat="1" x14ac:dyDescent="0.25">
      <c r="B20" s="477"/>
      <c r="C20" s="455"/>
      <c r="D20" s="479"/>
      <c r="E20" s="479"/>
      <c r="F20" s="485"/>
      <c r="G20" s="37"/>
      <c r="H20" s="481"/>
      <c r="I20" s="483"/>
      <c r="J20" s="499"/>
      <c r="K20" s="192">
        <f>'List Values'!$D$24</f>
        <v>10</v>
      </c>
      <c r="L20" s="191">
        <f>IFERROR($H$18/($N$6+$N$12/K20),"")</f>
        <v>6.3923070715163322</v>
      </c>
      <c r="M20" s="191">
        <f t="shared" si="1"/>
        <v>31.808597068572709</v>
      </c>
      <c r="N20" s="191">
        <f t="shared" si="1"/>
        <v>63.238940431553068</v>
      </c>
      <c r="O20" s="191">
        <f t="shared" si="1"/>
        <v>155.32673626167377</v>
      </c>
      <c r="P20" s="191">
        <f t="shared" si="1"/>
        <v>301.83743538792396</v>
      </c>
      <c r="Q20" s="191">
        <f t="shared" si="1"/>
        <v>2904.5140989955221</v>
      </c>
      <c r="R20" s="195">
        <f t="shared" si="1"/>
        <v>4909.9836333878893</v>
      </c>
    </row>
    <row r="21" spans="2:18" s="19" customFormat="1" x14ac:dyDescent="0.25">
      <c r="B21" s="477"/>
      <c r="C21" s="455"/>
      <c r="D21" s="479"/>
      <c r="E21" s="479"/>
      <c r="F21" s="485"/>
      <c r="G21" s="37"/>
      <c r="H21" s="481"/>
      <c r="I21" s="483"/>
      <c r="J21" s="497"/>
      <c r="K21" s="192">
        <f>'List Values'!$D$25</f>
        <v>20</v>
      </c>
      <c r="L21" s="191">
        <f>IFERROR($H$18/($N$6+$N$12/K21),"")</f>
        <v>6.3961512226043178</v>
      </c>
      <c r="M21" s="191">
        <f t="shared" si="1"/>
        <v>31.90401146417479</v>
      </c>
      <c r="N21" s="191">
        <f t="shared" si="1"/>
        <v>63.617194137145418</v>
      </c>
      <c r="O21" s="191">
        <f t="shared" si="1"/>
        <v>157.62873834614612</v>
      </c>
      <c r="P21" s="191">
        <f t="shared" si="1"/>
        <v>310.65347252334755</v>
      </c>
      <c r="Q21" s="191">
        <f t="shared" si="1"/>
        <v>3995.6713560309663</v>
      </c>
      <c r="R21" s="195">
        <f t="shared" si="1"/>
        <v>9120.2736082082465</v>
      </c>
    </row>
    <row r="22" spans="2:18" s="19" customFormat="1" x14ac:dyDescent="0.25">
      <c r="B22" s="477" t="s">
        <v>83</v>
      </c>
      <c r="C22" s="455"/>
      <c r="D22" s="479"/>
      <c r="E22" s="479"/>
      <c r="F22" s="485"/>
      <c r="G22" s="37"/>
      <c r="H22" s="481">
        <f>_xlfn.XLOOKUP(B22, Tox_Table[Code],Tox_Table[HED / POD (mg/kg/day)], FALSE)</f>
        <v>2.4</v>
      </c>
      <c r="I22" s="483" t="s">
        <v>68</v>
      </c>
      <c r="J22" s="495">
        <f>_xlfn.XLOOKUP($B22,Tox_Table[Code],Tox_Table[Benchmark MOE])</f>
        <v>30</v>
      </c>
      <c r="K22" s="192" t="s">
        <v>111</v>
      </c>
      <c r="L22" s="191">
        <f>IFERROR($H$22/($N$7+$N$13),"")</f>
        <v>129.68766886415216</v>
      </c>
      <c r="M22" s="191">
        <f t="shared" ref="M22:R22" si="2">IFERROR($H$22/(($N$7/M$17)+$N$13),"")</f>
        <v>435.88812204867412</v>
      </c>
      <c r="N22" s="191">
        <f t="shared" si="2"/>
        <v>618.3973202782787</v>
      </c>
      <c r="O22" s="191">
        <f t="shared" si="2"/>
        <v>825.87749483826553</v>
      </c>
      <c r="P22" s="191">
        <f t="shared" si="2"/>
        <v>929.87214258039512</v>
      </c>
      <c r="Q22" s="191">
        <f t="shared" si="2"/>
        <v>1056.2218065793813</v>
      </c>
      <c r="R22" s="195">
        <f t="shared" si="2"/>
        <v>1063.0640606832401</v>
      </c>
    </row>
    <row r="23" spans="2:18" s="19" customFormat="1" x14ac:dyDescent="0.25">
      <c r="B23" s="477"/>
      <c r="C23" s="455"/>
      <c r="D23" s="479"/>
      <c r="E23" s="479"/>
      <c r="F23" s="485"/>
      <c r="G23" s="37"/>
      <c r="H23" s="481"/>
      <c r="I23" s="483"/>
      <c r="J23" s="495"/>
      <c r="K23" s="192">
        <f>'List Values'!$D$23</f>
        <v>5</v>
      </c>
      <c r="L23" s="191">
        <f>IFERROR($H$22/($N$7+$N$13/K23),"")</f>
        <v>143.70224894019591</v>
      </c>
      <c r="M23" s="191">
        <f t="shared" ref="M23:R25" si="3">IFERROR($H$22/(($N$7/M$17)+$N$13/$K23),"")</f>
        <v>648.43834432076073</v>
      </c>
      <c r="N23" s="191">
        <f t="shared" si="3"/>
        <v>1155.9580001926595</v>
      </c>
      <c r="O23" s="191">
        <f t="shared" si="3"/>
        <v>2179.4406102433704</v>
      </c>
      <c r="P23" s="191">
        <f t="shared" si="3"/>
        <v>3091.9866013913938</v>
      </c>
      <c r="Q23" s="191">
        <f t="shared" si="3"/>
        <v>5134.2389560380789</v>
      </c>
      <c r="R23" s="195">
        <f t="shared" si="3"/>
        <v>5300.0607298625291</v>
      </c>
    </row>
    <row r="24" spans="2:18" s="19" customFormat="1" x14ac:dyDescent="0.25">
      <c r="B24" s="477"/>
      <c r="C24" s="455"/>
      <c r="D24" s="479"/>
      <c r="E24" s="479"/>
      <c r="F24" s="485"/>
      <c r="G24" s="37"/>
      <c r="H24" s="481"/>
      <c r="I24" s="483"/>
      <c r="J24" s="495"/>
      <c r="K24" s="192">
        <f>'List Values'!$D$24</f>
        <v>10</v>
      </c>
      <c r="L24" s="191">
        <f>IFERROR($H$22/($N$7+$N$13/K24),"")</f>
        <v>145.66996042632741</v>
      </c>
      <c r="M24" s="191">
        <f t="shared" si="3"/>
        <v>690.52825411439744</v>
      </c>
      <c r="N24" s="191">
        <f t="shared" si="3"/>
        <v>1296.8766886415215</v>
      </c>
      <c r="O24" s="191">
        <f t="shared" si="3"/>
        <v>2740.9776153494745</v>
      </c>
      <c r="P24" s="191">
        <f t="shared" si="3"/>
        <v>4358.8812204867409</v>
      </c>
      <c r="Q24" s="191">
        <f t="shared" si="3"/>
        <v>9923.5063055612973</v>
      </c>
      <c r="R24" s="195">
        <f t="shared" si="3"/>
        <v>10562.218065793815</v>
      </c>
    </row>
    <row r="25" spans="2:18" s="19" customFormat="1" ht="13.5" thickBot="1" x14ac:dyDescent="0.3">
      <c r="B25" s="477"/>
      <c r="C25" s="476"/>
      <c r="D25" s="480"/>
      <c r="E25" s="480"/>
      <c r="F25" s="493"/>
      <c r="G25" s="37"/>
      <c r="H25" s="482"/>
      <c r="I25" s="484"/>
      <c r="J25" s="496"/>
      <c r="K25" s="192">
        <f>'List Values'!$D$25</f>
        <v>20</v>
      </c>
      <c r="L25" s="41">
        <f>IFERROR($H$22/($N$7+$N$13/K25),"")</f>
        <v>146.67416334612656</v>
      </c>
      <c r="M25" s="41">
        <f t="shared" si="3"/>
        <v>713.69097180920653</v>
      </c>
      <c r="N25" s="41">
        <f t="shared" si="3"/>
        <v>1381.0565082287949</v>
      </c>
      <c r="O25" s="41">
        <f t="shared" si="3"/>
        <v>3146.3030938647089</v>
      </c>
      <c r="P25" s="41">
        <f t="shared" si="3"/>
        <v>5481.955230698949</v>
      </c>
      <c r="Q25" s="41">
        <f t="shared" si="3"/>
        <v>18597.442851607899</v>
      </c>
      <c r="R25" s="42">
        <f t="shared" si="3"/>
        <v>20974.437404413369</v>
      </c>
    </row>
    <row r="26" spans="2:18" s="19" customFormat="1" x14ac:dyDescent="0.25">
      <c r="B26" s="477" t="s">
        <v>88</v>
      </c>
      <c r="C26" s="455" t="s">
        <v>115</v>
      </c>
      <c r="D26" s="479" t="str">
        <f>_xlfn.XLOOKUP($B26,Tox_Table[Code],Tox_Table[Health Effect])</f>
        <v>Phthalate syndrome-related effects</v>
      </c>
      <c r="E26" s="479">
        <f>_xlfn.XLOOKUP($B26,Tox_Table[Code],Tox_Table[Endpoint])</f>
        <v>0</v>
      </c>
      <c r="F26" s="485">
        <f>_xlfn.XLOOKUP($B26,Tox_Table[Code],Tox_Table[Study])</f>
        <v>0</v>
      </c>
      <c r="G26" s="37"/>
      <c r="H26" s="487">
        <f>_xlfn.XLOOKUP($B26, Tox_Table[Code],Tox_Table[HED / POD (mg/kg/day)], FALSE)</f>
        <v>2.4</v>
      </c>
      <c r="I26" s="488" t="s">
        <v>67</v>
      </c>
      <c r="J26" s="497">
        <f>_xlfn.XLOOKUP($B26,Tox_Table[Code],Tox_Table[Benchmark MOE])</f>
        <v>30</v>
      </c>
      <c r="K26" s="196" t="s">
        <v>111</v>
      </c>
      <c r="L26" s="38">
        <f>IFERROR($H$26/($O$6+$O$12),"")</f>
        <v>8.6234918770299629</v>
      </c>
      <c r="M26" s="38">
        <f t="shared" ref="M26:R26" si="4">IFERROR($H$26/(($O$6/M$17)+$O$12),"")</f>
        <v>41.159650280171448</v>
      </c>
      <c r="N26" s="38">
        <f t="shared" si="4"/>
        <v>77.897966646687266</v>
      </c>
      <c r="O26" s="38">
        <f t="shared" si="4"/>
        <v>167.72035426265938</v>
      </c>
      <c r="P26" s="38">
        <f t="shared" si="4"/>
        <v>272.43213791120229</v>
      </c>
      <c r="Q26" s="38">
        <f t="shared" si="4"/>
        <v>669.54322273471223</v>
      </c>
      <c r="R26" s="39">
        <f t="shared" si="4"/>
        <v>719.20168612839757</v>
      </c>
    </row>
    <row r="27" spans="2:18" s="19" customFormat="1" x14ac:dyDescent="0.25">
      <c r="B27" s="477" t="s">
        <v>88</v>
      </c>
      <c r="C27" s="455"/>
      <c r="D27" s="479"/>
      <c r="E27" s="479"/>
      <c r="F27" s="485"/>
      <c r="G27" s="37"/>
      <c r="H27" s="481"/>
      <c r="I27" s="483"/>
      <c r="J27" s="495"/>
      <c r="K27" s="192">
        <f>'List Values'!$D$23</f>
        <v>5</v>
      </c>
      <c r="L27" s="191">
        <f>IFERROR($H$26/($O$6+$O$12/K27),"")</f>
        <v>8.706317202188206</v>
      </c>
      <c r="M27" s="191">
        <f t="shared" ref="M27:R29" si="5">IFERROR($H$26/(($O$6/M$17)+$O$12/$K27),"")</f>
        <v>43.117459385149814</v>
      </c>
      <c r="N27" s="191">
        <f t="shared" si="5"/>
        <v>85.221502521372827</v>
      </c>
      <c r="O27" s="191">
        <f t="shared" si="5"/>
        <v>205.79825140085723</v>
      </c>
      <c r="P27" s="191">
        <f t="shared" si="5"/>
        <v>389.48983323343634</v>
      </c>
      <c r="Q27" s="191">
        <f t="shared" si="5"/>
        <v>2561.6212216086988</v>
      </c>
      <c r="R27" s="195">
        <f t="shared" si="5"/>
        <v>3481.2544120064604</v>
      </c>
    </row>
    <row r="28" spans="2:18" s="19" customFormat="1" x14ac:dyDescent="0.25">
      <c r="B28" s="477"/>
      <c r="C28" s="455"/>
      <c r="D28" s="479"/>
      <c r="E28" s="479"/>
      <c r="F28" s="485"/>
      <c r="G28" s="37"/>
      <c r="H28" s="481"/>
      <c r="I28" s="483"/>
      <c r="J28" s="495"/>
      <c r="K28" s="192">
        <f>'List Values'!$D$24</f>
        <v>10</v>
      </c>
      <c r="L28" s="191">
        <f>IFERROR($H$26/($O$6+$O$12/K28),"")</f>
        <v>8.7167823702495433</v>
      </c>
      <c r="M28" s="191">
        <f t="shared" si="5"/>
        <v>43.375359638962777</v>
      </c>
      <c r="N28" s="191">
        <f t="shared" si="5"/>
        <v>86.234918770299629</v>
      </c>
      <c r="O28" s="191">
        <f t="shared" si="5"/>
        <v>211.80918581137331</v>
      </c>
      <c r="P28" s="191">
        <f t="shared" si="5"/>
        <v>411.59650280171445</v>
      </c>
      <c r="Q28" s="191">
        <f t="shared" si="5"/>
        <v>3960.7010440848035</v>
      </c>
      <c r="R28" s="195">
        <f t="shared" si="5"/>
        <v>6695.4322273471216</v>
      </c>
    </row>
    <row r="29" spans="2:18" s="19" customFormat="1" x14ac:dyDescent="0.25">
      <c r="B29" s="477"/>
      <c r="C29" s="455"/>
      <c r="D29" s="479"/>
      <c r="E29" s="479"/>
      <c r="F29" s="485"/>
      <c r="G29" s="37"/>
      <c r="H29" s="481"/>
      <c r="I29" s="483"/>
      <c r="J29" s="495"/>
      <c r="K29" s="192">
        <f>'List Values'!$D$25</f>
        <v>20</v>
      </c>
      <c r="L29" s="191">
        <f>IFERROR($H$26/($O$6+$O$12/K29),"")</f>
        <v>8.7220243944604334</v>
      </c>
      <c r="M29" s="191">
        <f t="shared" si="5"/>
        <v>43.505470178420161</v>
      </c>
      <c r="N29" s="191">
        <f t="shared" si="5"/>
        <v>86.750719277925555</v>
      </c>
      <c r="O29" s="191">
        <f t="shared" si="5"/>
        <v>214.94827956292656</v>
      </c>
      <c r="P29" s="191">
        <f t="shared" si="5"/>
        <v>423.61837162274662</v>
      </c>
      <c r="Q29" s="191">
        <f t="shared" si="5"/>
        <v>5448.6427582240458</v>
      </c>
      <c r="R29" s="195">
        <f t="shared" si="5"/>
        <v>12436.736738465794</v>
      </c>
    </row>
    <row r="30" spans="2:18" s="19" customFormat="1" x14ac:dyDescent="0.25">
      <c r="B30" s="477" t="s">
        <v>88</v>
      </c>
      <c r="C30" s="455"/>
      <c r="D30" s="479"/>
      <c r="E30" s="479"/>
      <c r="F30" s="485"/>
      <c r="G30" s="37"/>
      <c r="H30" s="481">
        <f>_xlfn.XLOOKUP(B30, Tox_Table[Code],Tox_Table[HED / POD (mg/kg/day)], FALSE)</f>
        <v>2.4</v>
      </c>
      <c r="I30" s="483" t="s">
        <v>68</v>
      </c>
      <c r="J30" s="495">
        <f>_xlfn.XLOOKUP($B30,Tox_Table[Code],Tox_Table[Benchmark MOE])</f>
        <v>30</v>
      </c>
      <c r="K30" s="192" t="s">
        <v>111</v>
      </c>
      <c r="L30" s="191">
        <f>IFERROR($H$30/($O$7+$O$13),"")</f>
        <v>176.84682117838929</v>
      </c>
      <c r="M30" s="191">
        <f t="shared" ref="M30:R30" si="6">IFERROR($H$30/(($O$7/M$17)+$O$13),"")</f>
        <v>594.39289370273741</v>
      </c>
      <c r="N30" s="191">
        <f t="shared" si="6"/>
        <v>843.2690731067438</v>
      </c>
      <c r="O30" s="191">
        <f t="shared" si="6"/>
        <v>1126.1965838703622</v>
      </c>
      <c r="P30" s="191">
        <f t="shared" si="6"/>
        <v>1268.0074671550842</v>
      </c>
      <c r="Q30" s="191">
        <f t="shared" si="6"/>
        <v>1440.3024635173385</v>
      </c>
      <c r="R30" s="195">
        <f t="shared" si="6"/>
        <v>1449.6328100225999</v>
      </c>
    </row>
    <row r="31" spans="2:18" s="19" customFormat="1" x14ac:dyDescent="0.25">
      <c r="B31" s="477" t="s">
        <v>88</v>
      </c>
      <c r="C31" s="455"/>
      <c r="D31" s="479"/>
      <c r="E31" s="479"/>
      <c r="F31" s="485"/>
      <c r="G31" s="37"/>
      <c r="H31" s="481"/>
      <c r="I31" s="483"/>
      <c r="J31" s="495"/>
      <c r="K31" s="192">
        <f>'List Values'!$D$23</f>
        <v>5</v>
      </c>
      <c r="L31" s="191">
        <f>IFERROR($H$30/($O$7+$O$13/K31),"")</f>
        <v>195.95761219117622</v>
      </c>
      <c r="M31" s="191">
        <f t="shared" ref="M31:R33" si="7">IFERROR($H$30/(($O$7/M$17)+$O$13/$K31),"")</f>
        <v>884.23410589194646</v>
      </c>
      <c r="N31" s="191">
        <f t="shared" si="7"/>
        <v>1576.3063638990811</v>
      </c>
      <c r="O31" s="191">
        <f t="shared" si="7"/>
        <v>2971.9644685136873</v>
      </c>
      <c r="P31" s="191">
        <f t="shared" si="7"/>
        <v>4216.345365533718</v>
      </c>
      <c r="Q31" s="191">
        <f t="shared" si="7"/>
        <v>7001.2349400519252</v>
      </c>
      <c r="R31" s="195">
        <f t="shared" si="7"/>
        <v>7227.3555407216299</v>
      </c>
    </row>
    <row r="32" spans="2:18" s="19" customFormat="1" x14ac:dyDescent="0.25">
      <c r="B32" s="477"/>
      <c r="C32" s="455"/>
      <c r="D32" s="479"/>
      <c r="E32" s="479"/>
      <c r="F32" s="485"/>
      <c r="G32" s="37"/>
      <c r="H32" s="481"/>
      <c r="I32" s="483"/>
      <c r="J32" s="495"/>
      <c r="K32" s="192">
        <f>'List Values'!$D$24</f>
        <v>10</v>
      </c>
      <c r="L32" s="191">
        <f>IFERROR($H$30/($O$7+$O$13/K32),"")</f>
        <v>198.6408551268101</v>
      </c>
      <c r="M32" s="191">
        <f t="shared" si="7"/>
        <v>941.62943742872369</v>
      </c>
      <c r="N32" s="191">
        <f t="shared" si="7"/>
        <v>1768.4682117838929</v>
      </c>
      <c r="O32" s="191">
        <f t="shared" si="7"/>
        <v>3737.696748203829</v>
      </c>
      <c r="P32" s="191">
        <f t="shared" si="7"/>
        <v>5943.9289370273746</v>
      </c>
      <c r="Q32" s="191">
        <f t="shared" si="7"/>
        <v>13532.054053038133</v>
      </c>
      <c r="R32" s="195">
        <f t="shared" si="7"/>
        <v>14403.024635173384</v>
      </c>
    </row>
    <row r="33" spans="1:18" s="19" customFormat="1" ht="13.5" thickBot="1" x14ac:dyDescent="0.3">
      <c r="B33" s="477"/>
      <c r="C33" s="455"/>
      <c r="D33" s="479"/>
      <c r="E33" s="479"/>
      <c r="F33" s="485"/>
      <c r="G33" s="37"/>
      <c r="H33" s="490"/>
      <c r="I33" s="491"/>
      <c r="J33" s="504"/>
      <c r="K33" s="192">
        <f>'List Values'!$D$25</f>
        <v>20</v>
      </c>
      <c r="L33" s="199">
        <f>IFERROR($H$30/($O$7+$O$13/K33),"")</f>
        <v>200.01022274471805</v>
      </c>
      <c r="M33" s="199">
        <f t="shared" si="7"/>
        <v>973.21496155800878</v>
      </c>
      <c r="N33" s="199">
        <f t="shared" si="7"/>
        <v>1883.2588748574474</v>
      </c>
      <c r="O33" s="199">
        <f t="shared" si="7"/>
        <v>4290.4133098155116</v>
      </c>
      <c r="P33" s="199">
        <f t="shared" si="7"/>
        <v>7475.3934964076579</v>
      </c>
      <c r="Q33" s="199">
        <f t="shared" si="7"/>
        <v>25360.149343101682</v>
      </c>
      <c r="R33" s="200">
        <f t="shared" si="7"/>
        <v>28601.505551472776</v>
      </c>
    </row>
    <row r="34" spans="1:18" s="19" customFormat="1" x14ac:dyDescent="0.25">
      <c r="B34" s="477" t="s">
        <v>94</v>
      </c>
      <c r="C34" s="454" t="s">
        <v>116</v>
      </c>
      <c r="D34" s="478" t="str">
        <f>_xlfn.XLOOKUP($B34,Tox_Table[Code],Tox_Table[Health Effect])</f>
        <v>Phthalate syndrome-related effects</v>
      </c>
      <c r="E34" s="478">
        <f>_xlfn.XLOOKUP($B34,Tox_Table[Code],Tox_Table[Endpoint])</f>
        <v>0</v>
      </c>
      <c r="F34" s="492">
        <f>_xlfn.XLOOKUP($B34,Tox_Table[Code],Tox_Table[Study])</f>
        <v>0</v>
      </c>
      <c r="G34" s="43"/>
      <c r="H34" s="486">
        <f>_xlfn.XLOOKUP($B34, Tox_Table[Code],Tox_Table[HED / POD (mg/kg/day)], FALSE)</f>
        <v>2.4</v>
      </c>
      <c r="I34" s="489" t="s">
        <v>67</v>
      </c>
      <c r="J34" s="494">
        <f>_xlfn.XLOOKUP($B34,Tox_Table[Code],Tox_Table[Benchmark MOE])</f>
        <v>30</v>
      </c>
      <c r="K34" s="197" t="s">
        <v>111</v>
      </c>
      <c r="L34" s="45">
        <f>IFERROR($H$34/($P$6+$P$12),"")</f>
        <v>9.2328853030067464</v>
      </c>
      <c r="M34" s="45">
        <f t="shared" ref="M34:R34" si="8">IFERROR($H$34/(($P$6/M$17)+$P$12),"")</f>
        <v>44.068265566636896</v>
      </c>
      <c r="N34" s="45">
        <f t="shared" si="8"/>
        <v>83.402756289719846</v>
      </c>
      <c r="O34" s="45">
        <f t="shared" si="8"/>
        <v>179.57259263055397</v>
      </c>
      <c r="P34" s="45">
        <f t="shared" si="8"/>
        <v>291.68400899026057</v>
      </c>
      <c r="Q34" s="45">
        <f t="shared" si="8"/>
        <v>716.85761047463177</v>
      </c>
      <c r="R34" s="46">
        <f t="shared" si="8"/>
        <v>770.02527194813752</v>
      </c>
    </row>
    <row r="35" spans="1:18" s="19" customFormat="1" x14ac:dyDescent="0.25">
      <c r="B35" s="477" t="s">
        <v>94</v>
      </c>
      <c r="C35" s="455"/>
      <c r="D35" s="479"/>
      <c r="E35" s="479"/>
      <c r="F35" s="485"/>
      <c r="G35" s="43"/>
      <c r="H35" s="481"/>
      <c r="I35" s="483"/>
      <c r="J35" s="495"/>
      <c r="K35" s="192">
        <f>'List Values'!$D$23</f>
        <v>5</v>
      </c>
      <c r="L35" s="191">
        <f>IFERROR($H$34/($P$6+$P$12/K35),"")</f>
        <v>9.321563617809506</v>
      </c>
      <c r="M35" s="191">
        <f>IFERROR($H$34/(($P$6/M$17)+$P$12/$K35),"")</f>
        <v>46.164426515033739</v>
      </c>
      <c r="N35" s="191">
        <f t="shared" ref="M35:R37" si="9">IFERROR($H$34/(($P$6/N$17)+$P$12/$K35),"")</f>
        <v>91.243822032883187</v>
      </c>
      <c r="O35" s="191">
        <f t="shared" si="9"/>
        <v>220.34132783318449</v>
      </c>
      <c r="P35" s="191">
        <f t="shared" si="9"/>
        <v>417.01378144859916</v>
      </c>
      <c r="Q35" s="191">
        <f t="shared" si="9"/>
        <v>2742.6424546023795</v>
      </c>
      <c r="R35" s="195">
        <f t="shared" si="9"/>
        <v>3727.2630571215832</v>
      </c>
    </row>
    <row r="36" spans="1:18" s="19" customFormat="1" x14ac:dyDescent="0.25">
      <c r="B36" s="477"/>
      <c r="C36" s="455"/>
      <c r="D36" s="479"/>
      <c r="E36" s="479"/>
      <c r="F36" s="485"/>
      <c r="G36" s="43"/>
      <c r="H36" s="481"/>
      <c r="I36" s="483"/>
      <c r="J36" s="495"/>
      <c r="K36" s="192">
        <f>'List Values'!$D$24</f>
        <v>10</v>
      </c>
      <c r="L36" s="191">
        <f>IFERROR($H$34/($P$6+$P$12/K36),"")</f>
        <v>9.3327683244138431</v>
      </c>
      <c r="M36" s="191">
        <f t="shared" si="9"/>
        <v>46.440551720116147</v>
      </c>
      <c r="N36" s="191">
        <f t="shared" si="9"/>
        <v>92.328853030067478</v>
      </c>
      <c r="O36" s="191">
        <f t="shared" si="9"/>
        <v>226.77703494204368</v>
      </c>
      <c r="P36" s="191">
        <f t="shared" si="9"/>
        <v>440.68265566636899</v>
      </c>
      <c r="Q36" s="191">
        <f t="shared" si="9"/>
        <v>4240.5905845334619</v>
      </c>
      <c r="R36" s="195">
        <f t="shared" si="9"/>
        <v>7168.5761047463184</v>
      </c>
    </row>
    <row r="37" spans="1:18" s="19" customFormat="1" x14ac:dyDescent="0.25">
      <c r="B37" s="477"/>
      <c r="C37" s="455"/>
      <c r="D37" s="479"/>
      <c r="E37" s="479"/>
      <c r="F37" s="485"/>
      <c r="G37" s="43"/>
      <c r="H37" s="481"/>
      <c r="I37" s="483"/>
      <c r="J37" s="495"/>
      <c r="K37" s="192">
        <f>'List Values'!$D$25</f>
        <v>20</v>
      </c>
      <c r="L37" s="191">
        <f>IFERROR($H$34/($P$6+$P$12/K37),"")</f>
        <v>9.338380785002304</v>
      </c>
      <c r="M37" s="191">
        <f t="shared" si="9"/>
        <v>46.579856737695181</v>
      </c>
      <c r="N37" s="191">
        <f t="shared" si="9"/>
        <v>92.881103440232295</v>
      </c>
      <c r="O37" s="191">
        <f t="shared" si="9"/>
        <v>230.13795798537333</v>
      </c>
      <c r="P37" s="191">
        <f t="shared" si="9"/>
        <v>453.55406988408737</v>
      </c>
      <c r="Q37" s="191">
        <f t="shared" si="9"/>
        <v>5833.6801798052102</v>
      </c>
      <c r="R37" s="195">
        <f t="shared" si="9"/>
        <v>13315.599467984039</v>
      </c>
    </row>
    <row r="38" spans="1:18" s="19" customFormat="1" x14ac:dyDescent="0.25">
      <c r="B38" s="477" t="s">
        <v>94</v>
      </c>
      <c r="C38" s="455"/>
      <c r="D38" s="479"/>
      <c r="E38" s="479"/>
      <c r="F38" s="485"/>
      <c r="G38" s="43"/>
      <c r="H38" s="481">
        <f>_xlfn.XLOOKUP(B38, Tox_Table[Code],Tox_Table[HED / POD (mg/kg/day)], FALSE)</f>
        <v>2.4</v>
      </c>
      <c r="I38" s="483" t="s">
        <v>68</v>
      </c>
      <c r="J38" s="495">
        <f>_xlfn.XLOOKUP($B38,Tox_Table[Code],Tox_Table[Benchmark MOE])</f>
        <v>30</v>
      </c>
      <c r="K38" s="192" t="s">
        <v>111</v>
      </c>
      <c r="L38" s="191">
        <f>IFERROR($H$38/($P$7+$P$13),"")</f>
        <v>227.57691892026702</v>
      </c>
      <c r="M38" s="191">
        <f t="shared" ref="M38:R38" si="10">IFERROR($H$38/(($P$7/M$17)+$P$13),"")</f>
        <v>764.89982955656774</v>
      </c>
      <c r="N38" s="191">
        <f t="shared" si="10"/>
        <v>1085.1683745267871</v>
      </c>
      <c r="O38" s="191">
        <f t="shared" si="10"/>
        <v>1449.2561808459948</v>
      </c>
      <c r="P38" s="191">
        <f t="shared" si="10"/>
        <v>1631.7467886627126</v>
      </c>
      <c r="Q38" s="191">
        <f t="shared" si="10"/>
        <v>1853.4661509686262</v>
      </c>
      <c r="R38" s="195">
        <f t="shared" si="10"/>
        <v>1865.472991102801</v>
      </c>
    </row>
    <row r="39" spans="1:18" s="19" customFormat="1" x14ac:dyDescent="0.25">
      <c r="B39" s="477" t="s">
        <v>94</v>
      </c>
      <c r="C39" s="455"/>
      <c r="D39" s="479"/>
      <c r="E39" s="479"/>
      <c r="F39" s="485"/>
      <c r="G39" s="43"/>
      <c r="H39" s="481"/>
      <c r="I39" s="483"/>
      <c r="J39" s="495"/>
      <c r="K39" s="192">
        <f>'List Values'!$D$23</f>
        <v>5</v>
      </c>
      <c r="L39" s="191">
        <f>IFERROR($H$38/($P$7+$P$13/K39),"")</f>
        <v>252.1698118421707</v>
      </c>
      <c r="M39" s="191">
        <f t="shared" ref="M39:R41" si="11">IFERROR($H$38/(($P$7/M$17)+$P$13/$K39),"")</f>
        <v>1137.8845946013353</v>
      </c>
      <c r="N39" s="191">
        <f t="shared" si="11"/>
        <v>2028.4839907226958</v>
      </c>
      <c r="O39" s="191">
        <f t="shared" si="11"/>
        <v>3824.499147782838</v>
      </c>
      <c r="P39" s="191">
        <f t="shared" si="11"/>
        <v>5425.841872633936</v>
      </c>
      <c r="Q39" s="191">
        <f t="shared" si="11"/>
        <v>9009.6020142014368</v>
      </c>
      <c r="R39" s="195">
        <f t="shared" si="11"/>
        <v>9300.5873384606875</v>
      </c>
    </row>
    <row r="40" spans="1:18" s="19" customFormat="1" x14ac:dyDescent="0.25">
      <c r="B40" s="477"/>
      <c r="C40" s="455"/>
      <c r="D40" s="479"/>
      <c r="E40" s="479"/>
      <c r="F40" s="485"/>
      <c r="G40" s="43"/>
      <c r="H40" s="481"/>
      <c r="I40" s="483"/>
      <c r="J40" s="495"/>
      <c r="K40" s="192">
        <f>'List Values'!$D$24</f>
        <v>10</v>
      </c>
      <c r="L40" s="191">
        <f>IFERROR($H$38/($P$7+$P$13/K40),"")</f>
        <v>255.62276709427647</v>
      </c>
      <c r="M40" s="191">
        <f t="shared" si="11"/>
        <v>1211.7442920757458</v>
      </c>
      <c r="N40" s="191">
        <f t="shared" si="11"/>
        <v>2275.7691892026705</v>
      </c>
      <c r="O40" s="191">
        <f t="shared" si="11"/>
        <v>4809.8886038584524</v>
      </c>
      <c r="P40" s="191">
        <f t="shared" si="11"/>
        <v>7648.998295565676</v>
      </c>
      <c r="Q40" s="191">
        <f t="shared" si="11"/>
        <v>17413.845199662854</v>
      </c>
      <c r="R40" s="195">
        <f t="shared" si="11"/>
        <v>18534.661509686262</v>
      </c>
    </row>
    <row r="41" spans="1:18" s="19" customFormat="1" ht="13.5" thickBot="1" x14ac:dyDescent="0.3">
      <c r="B41" s="477"/>
      <c r="C41" s="476"/>
      <c r="D41" s="480"/>
      <c r="E41" s="480"/>
      <c r="F41" s="493"/>
      <c r="G41" s="345"/>
      <c r="H41" s="482"/>
      <c r="I41" s="484"/>
      <c r="J41" s="496"/>
      <c r="K41" s="36">
        <f>'List Values'!$D$25</f>
        <v>20</v>
      </c>
      <c r="L41" s="41">
        <f>IFERROR($H$38/($P$7+$P$13/K41),"")</f>
        <v>257.38495010257793</v>
      </c>
      <c r="M41" s="41">
        <f t="shared" si="11"/>
        <v>1252.3904072613482</v>
      </c>
      <c r="N41" s="41">
        <f t="shared" si="11"/>
        <v>2423.4885841514915</v>
      </c>
      <c r="O41" s="41">
        <f t="shared" si="11"/>
        <v>5521.1568714452833</v>
      </c>
      <c r="P41" s="41">
        <f t="shared" si="11"/>
        <v>9619.7772077169047</v>
      </c>
      <c r="Q41" s="41">
        <f t="shared" si="11"/>
        <v>32634.935773254248</v>
      </c>
      <c r="R41" s="42">
        <f t="shared" si="11"/>
        <v>36806.104099090764</v>
      </c>
    </row>
    <row r="42" spans="1:18" s="19" customFormat="1" x14ac:dyDescent="0.25">
      <c r="B42" s="14"/>
      <c r="C42" s="15"/>
      <c r="D42" s="16"/>
      <c r="E42" s="15"/>
      <c r="F42" s="15"/>
      <c r="G42" s="17"/>
      <c r="H42" s="17"/>
      <c r="I42" s="15"/>
      <c r="J42" s="17"/>
      <c r="K42" s="17"/>
      <c r="L42" s="17"/>
      <c r="M42" s="17"/>
      <c r="N42" s="17"/>
      <c r="P42" s="17"/>
      <c r="Q42" s="17"/>
      <c r="R42" s="17"/>
    </row>
    <row r="43" spans="1:18" s="19" customFormat="1" x14ac:dyDescent="0.25">
      <c r="B43" s="14"/>
      <c r="C43" s="15"/>
      <c r="D43" s="16"/>
      <c r="E43" s="15"/>
      <c r="F43" s="15"/>
      <c r="G43" s="17"/>
      <c r="H43" s="17"/>
      <c r="I43" s="15"/>
      <c r="J43" s="17"/>
      <c r="K43" s="17"/>
      <c r="L43" s="17"/>
      <c r="M43" s="17"/>
      <c r="N43" s="17"/>
      <c r="O43" s="17"/>
      <c r="P43" s="17"/>
      <c r="Q43" s="17"/>
      <c r="R43" s="17"/>
    </row>
    <row r="44" spans="1:18" s="19" customFormat="1" x14ac:dyDescent="0.25">
      <c r="B44" s="14"/>
      <c r="C44" s="15"/>
      <c r="D44" s="16"/>
      <c r="E44" s="15"/>
      <c r="F44" s="15"/>
      <c r="G44" s="17"/>
      <c r="H44" s="17"/>
      <c r="I44" s="15"/>
      <c r="J44" s="17"/>
      <c r="K44" s="17"/>
      <c r="L44" s="17"/>
      <c r="M44" s="17"/>
      <c r="N44" s="17"/>
      <c r="O44" s="17"/>
      <c r="P44" s="17"/>
      <c r="Q44" s="17"/>
      <c r="R44" s="17"/>
    </row>
    <row r="45" spans="1:18" s="19" customFormat="1" x14ac:dyDescent="0.25">
      <c r="A45" s="17"/>
      <c r="B45" s="14"/>
      <c r="C45" s="15"/>
      <c r="D45" s="16"/>
      <c r="E45" s="15"/>
      <c r="F45" s="15"/>
      <c r="G45" s="17"/>
      <c r="H45" s="17"/>
      <c r="I45" s="15"/>
      <c r="J45" s="17"/>
      <c r="K45" s="17"/>
      <c r="L45" s="17"/>
      <c r="M45" s="17"/>
      <c r="N45" s="17"/>
      <c r="O45" s="17"/>
      <c r="P45" s="17"/>
      <c r="Q45" s="17"/>
      <c r="R45" s="17"/>
    </row>
    <row r="50" spans="1:18" x14ac:dyDescent="0.25">
      <c r="I50" s="21"/>
      <c r="J50" s="19"/>
      <c r="K50" s="19"/>
      <c r="L50" s="19"/>
      <c r="M50" s="19"/>
      <c r="N50" s="19"/>
    </row>
    <row r="55" spans="1:18" x14ac:dyDescent="0.25">
      <c r="P55" s="19"/>
      <c r="Q55" s="19"/>
      <c r="R55" s="19"/>
    </row>
    <row r="56" spans="1:18" x14ac:dyDescent="0.25">
      <c r="C56" s="21"/>
      <c r="D56" s="30"/>
      <c r="E56" s="21"/>
      <c r="F56" s="21"/>
      <c r="G56" s="19"/>
      <c r="H56" s="19"/>
    </row>
    <row r="58" spans="1:18" x14ac:dyDescent="0.25">
      <c r="B58" s="26"/>
    </row>
    <row r="59" spans="1:18" x14ac:dyDescent="0.25">
      <c r="B59" s="47"/>
    </row>
    <row r="60" spans="1:18" x14ac:dyDescent="0.25">
      <c r="B60" s="47"/>
      <c r="I60" s="48"/>
      <c r="J60" s="48"/>
      <c r="K60" s="48"/>
      <c r="L60" s="48"/>
      <c r="M60" s="48"/>
      <c r="N60" s="48"/>
      <c r="O60" s="19"/>
    </row>
    <row r="61" spans="1:18" x14ac:dyDescent="0.25">
      <c r="B61" s="47"/>
      <c r="I61" s="48"/>
      <c r="J61" s="48"/>
      <c r="K61" s="48"/>
      <c r="L61" s="48"/>
      <c r="M61" s="48"/>
      <c r="N61" s="48"/>
    </row>
    <row r="62" spans="1:18" x14ac:dyDescent="0.25">
      <c r="B62" s="47"/>
      <c r="C62" s="49"/>
      <c r="D62" s="50"/>
      <c r="E62" s="49"/>
      <c r="I62" s="48"/>
      <c r="J62" s="48"/>
      <c r="K62" s="48"/>
      <c r="L62" s="48"/>
      <c r="M62" s="48"/>
      <c r="N62" s="48"/>
    </row>
    <row r="63" spans="1:18" s="19" customFormat="1" x14ac:dyDescent="0.25">
      <c r="A63" s="17"/>
      <c r="B63" s="47"/>
      <c r="C63" s="15"/>
      <c r="D63" s="16"/>
      <c r="E63" s="49"/>
      <c r="F63" s="15"/>
      <c r="G63" s="17"/>
      <c r="H63" s="17"/>
      <c r="I63" s="48"/>
      <c r="J63" s="48"/>
      <c r="K63" s="48"/>
      <c r="L63" s="48"/>
      <c r="M63" s="48"/>
      <c r="N63" s="48"/>
      <c r="O63" s="17"/>
      <c r="P63" s="17"/>
      <c r="Q63" s="17"/>
      <c r="R63" s="17"/>
    </row>
    <row r="65" spans="1:11" x14ac:dyDescent="0.25">
      <c r="F65" s="48"/>
      <c r="G65" s="51"/>
      <c r="H65" s="210"/>
      <c r="I65" s="213"/>
      <c r="J65" s="211"/>
      <c r="K65" s="211"/>
    </row>
    <row r="66" spans="1:11" x14ac:dyDescent="0.25">
      <c r="H66" s="29"/>
      <c r="I66" s="214"/>
      <c r="J66" s="208"/>
      <c r="K66" s="208"/>
    </row>
    <row r="67" spans="1:11" x14ac:dyDescent="0.25">
      <c r="A67" s="17" t="s">
        <v>117</v>
      </c>
      <c r="H67" s="29"/>
      <c r="I67" s="214"/>
      <c r="J67" s="208"/>
      <c r="K67" s="208"/>
    </row>
    <row r="68" spans="1:11" x14ac:dyDescent="0.25">
      <c r="H68" s="29"/>
      <c r="I68" s="214"/>
      <c r="J68" s="208"/>
      <c r="K68" s="208"/>
    </row>
    <row r="69" spans="1:11" x14ac:dyDescent="0.25">
      <c r="H69" s="29"/>
      <c r="I69" s="214"/>
      <c r="J69" s="208"/>
      <c r="K69" s="208"/>
    </row>
    <row r="70" spans="1:11" x14ac:dyDescent="0.25">
      <c r="H70" s="29"/>
      <c r="I70" s="214"/>
      <c r="J70" s="208"/>
      <c r="K70" s="208"/>
    </row>
    <row r="71" spans="1:11" x14ac:dyDescent="0.25">
      <c r="H71" s="29"/>
      <c r="I71" s="214"/>
      <c r="J71" s="208"/>
      <c r="K71" s="208"/>
    </row>
  </sheetData>
  <sheetProtection sheet="1" objects="1" scenarios="1" formatCells="0" formatColumns="0" formatRows="0"/>
  <autoFilter ref="A17:Z41" xr:uid="{0343F8EF-0238-48DF-B0F9-9BD2EA206E1A}">
    <filterColumn colId="3" showButton="0"/>
  </autoFilter>
  <dataConsolidate link="1"/>
  <mergeCells count="56">
    <mergeCell ref="J30:J33"/>
    <mergeCell ref="D2:E2"/>
    <mergeCell ref="L4:L5"/>
    <mergeCell ref="M4:M5"/>
    <mergeCell ref="C15:C17"/>
    <mergeCell ref="D15:E17"/>
    <mergeCell ref="F15:F17"/>
    <mergeCell ref="H15:H17"/>
    <mergeCell ref="I15:I17"/>
    <mergeCell ref="L10:L11"/>
    <mergeCell ref="M10:M11"/>
    <mergeCell ref="D4:E4"/>
    <mergeCell ref="L6:L7"/>
    <mergeCell ref="L12:L13"/>
    <mergeCell ref="D3:E3"/>
    <mergeCell ref="M14:N14"/>
    <mergeCell ref="J22:J25"/>
    <mergeCell ref="J26:J29"/>
    <mergeCell ref="J18:J21"/>
    <mergeCell ref="K16:K17"/>
    <mergeCell ref="K15:R15"/>
    <mergeCell ref="J15:J17"/>
    <mergeCell ref="L16:L17"/>
    <mergeCell ref="M16:R16"/>
    <mergeCell ref="B34:B37"/>
    <mergeCell ref="C34:C41"/>
    <mergeCell ref="I34:I37"/>
    <mergeCell ref="J34:J37"/>
    <mergeCell ref="D34:D41"/>
    <mergeCell ref="E34:E41"/>
    <mergeCell ref="F34:F41"/>
    <mergeCell ref="B38:B41"/>
    <mergeCell ref="J38:J41"/>
    <mergeCell ref="H34:H37"/>
    <mergeCell ref="D18:D25"/>
    <mergeCell ref="H38:H41"/>
    <mergeCell ref="I38:I41"/>
    <mergeCell ref="E26:E33"/>
    <mergeCell ref="F26:F33"/>
    <mergeCell ref="D26:D33"/>
    <mergeCell ref="H18:H21"/>
    <mergeCell ref="H22:H25"/>
    <mergeCell ref="H26:H29"/>
    <mergeCell ref="I26:I29"/>
    <mergeCell ref="I22:I25"/>
    <mergeCell ref="I18:I21"/>
    <mergeCell ref="H30:H33"/>
    <mergeCell ref="I30:I33"/>
    <mergeCell ref="F18:F25"/>
    <mergeCell ref="E18:E25"/>
    <mergeCell ref="C18:C25"/>
    <mergeCell ref="B18:B21"/>
    <mergeCell ref="B22:B25"/>
    <mergeCell ref="B26:B29"/>
    <mergeCell ref="C26:C33"/>
    <mergeCell ref="B30:B33"/>
  </mergeCells>
  <phoneticPr fontId="2" type="noConversion"/>
  <conditionalFormatting sqref="F4">
    <cfRule type="cellIs" dxfId="182" priority="47" stopIfTrue="1" operator="equal">
      <formula>0</formula>
    </cfRule>
    <cfRule type="containsBlanks" dxfId="181" priority="48" stopIfTrue="1">
      <formula>LEN(TRIM(F4))=0</formula>
    </cfRule>
    <cfRule type="cellIs" dxfId="180" priority="49" operator="lessThan">
      <formula>0.1</formula>
    </cfRule>
  </conditionalFormatting>
  <conditionalFormatting sqref="H18 H34">
    <cfRule type="cellIs" dxfId="179" priority="164" operator="lessThan">
      <formula>0.1</formula>
    </cfRule>
    <cfRule type="containsBlanks" dxfId="178" priority="163" stopIfTrue="1">
      <formula>LEN(TRIM(H18))=0</formula>
    </cfRule>
    <cfRule type="cellIs" dxfId="177" priority="162" stopIfTrue="1" operator="equal">
      <formula>0</formula>
    </cfRule>
    <cfRule type="cellIs" dxfId="176" priority="166" operator="greaterThanOrEqual">
      <formula>10</formula>
    </cfRule>
    <cfRule type="cellIs" dxfId="175" priority="165" operator="lessThan">
      <formula>10</formula>
    </cfRule>
  </conditionalFormatting>
  <conditionalFormatting sqref="H22">
    <cfRule type="cellIs" dxfId="174" priority="133" operator="greaterThanOrEqual">
      <formula>10</formula>
    </cfRule>
    <cfRule type="cellIs" dxfId="173" priority="132" operator="lessThan">
      <formula>10</formula>
    </cfRule>
    <cfRule type="cellIs" dxfId="172" priority="131" operator="lessThan">
      <formula>0.1</formula>
    </cfRule>
    <cfRule type="cellIs" dxfId="171" priority="129" stopIfTrue="1" operator="equal">
      <formula>0</formula>
    </cfRule>
    <cfRule type="containsBlanks" dxfId="170" priority="130" stopIfTrue="1">
      <formula>LEN(TRIM(H22))=0</formula>
    </cfRule>
  </conditionalFormatting>
  <conditionalFormatting sqref="H26">
    <cfRule type="cellIs" dxfId="169" priority="111" operator="greaterThanOrEqual">
      <formula>10</formula>
    </cfRule>
    <cfRule type="cellIs" dxfId="168" priority="110" operator="lessThan">
      <formula>10</formula>
    </cfRule>
    <cfRule type="cellIs" dxfId="167" priority="109" operator="lessThan">
      <formula>0.1</formula>
    </cfRule>
    <cfRule type="containsBlanks" dxfId="166" priority="108" stopIfTrue="1">
      <formula>LEN(TRIM(H26))=0</formula>
    </cfRule>
    <cfRule type="cellIs" dxfId="165" priority="107" stopIfTrue="1" operator="equal">
      <formula>0</formula>
    </cfRule>
  </conditionalFormatting>
  <conditionalFormatting sqref="H30">
    <cfRule type="cellIs" dxfId="164" priority="106" operator="greaterThanOrEqual">
      <formula>10</formula>
    </cfRule>
    <cfRule type="cellIs" dxfId="163" priority="105" operator="lessThan">
      <formula>10</formula>
    </cfRule>
    <cfRule type="cellIs" dxfId="162" priority="104" operator="lessThan">
      <formula>0.1</formula>
    </cfRule>
    <cfRule type="containsBlanks" dxfId="161" priority="103" stopIfTrue="1">
      <formula>LEN(TRIM(H30))=0</formula>
    </cfRule>
    <cfRule type="cellIs" dxfId="160" priority="102" stopIfTrue="1" operator="equal">
      <formula>0</formula>
    </cfRule>
  </conditionalFormatting>
  <conditionalFormatting sqref="H38">
    <cfRule type="containsBlanks" dxfId="159" priority="84" stopIfTrue="1">
      <formula>LEN(TRIM(H38))=0</formula>
    </cfRule>
    <cfRule type="cellIs" dxfId="158" priority="85" operator="lessThan">
      <formula>0.1</formula>
    </cfRule>
    <cfRule type="cellIs" dxfId="157" priority="86" operator="lessThan">
      <formula>10</formula>
    </cfRule>
    <cfRule type="cellIs" dxfId="156" priority="87" operator="greaterThanOrEqual">
      <formula>10</formula>
    </cfRule>
    <cfRule type="cellIs" dxfId="155" priority="83" stopIfTrue="1" operator="equal">
      <formula>0</formula>
    </cfRule>
  </conditionalFormatting>
  <conditionalFormatting sqref="L18:R41">
    <cfRule type="cellIs" dxfId="154" priority="54" operator="greaterThanOrEqual">
      <formula>10</formula>
    </cfRule>
    <cfRule type="cellIs" dxfId="153" priority="53" operator="lessThan">
      <formula>10</formula>
    </cfRule>
    <cfRule type="cellIs" dxfId="152" priority="52" operator="lessThan">
      <formula>0.1</formula>
    </cfRule>
    <cfRule type="cellIs" dxfId="151" priority="55" operator="lessThan">
      <formula>$J$18</formula>
    </cfRule>
    <cfRule type="cellIs" dxfId="150" priority="11" stopIfTrue="1" operator="equal">
      <formula>0</formula>
    </cfRule>
    <cfRule type="containsBlanks" dxfId="149" priority="10">
      <formula>LEN(TRIM(L18))=0</formula>
    </cfRule>
    <cfRule type="cellIs" dxfId="148" priority="56" operator="greaterThanOrEqual">
      <formula>$J$18</formula>
    </cfRule>
  </conditionalFormatting>
  <conditionalFormatting sqref="N6:R7">
    <cfRule type="cellIs" dxfId="147" priority="46" operator="lessThan">
      <formula>0.1</formula>
    </cfRule>
    <cfRule type="cellIs" dxfId="146" priority="44" operator="between">
      <formula>1</formula>
      <formula>9.999</formula>
    </cfRule>
    <cfRule type="cellIs" dxfId="145" priority="43" operator="between">
      <formula>10</formula>
      <formula>9999.999</formula>
    </cfRule>
    <cfRule type="cellIs" dxfId="144" priority="42" operator="greaterThan">
      <formula>10000</formula>
    </cfRule>
    <cfRule type="cellIs" dxfId="143" priority="41" operator="equal">
      <formula>0</formula>
    </cfRule>
    <cfRule type="cellIs" dxfId="142" priority="45" operator="between">
      <formula>0.1</formula>
      <formula>0.999</formula>
    </cfRule>
  </conditionalFormatting>
  <conditionalFormatting sqref="N12:R13">
    <cfRule type="cellIs" dxfId="141" priority="1" operator="equal">
      <formula>0</formula>
    </cfRule>
    <cfRule type="cellIs" dxfId="140" priority="6" operator="lessThan">
      <formula>0.1</formula>
    </cfRule>
    <cfRule type="cellIs" dxfId="139" priority="5" operator="between">
      <formula>0.1</formula>
      <formula>0.999</formula>
    </cfRule>
    <cfRule type="cellIs" dxfId="138" priority="4" operator="between">
      <formula>1</formula>
      <formula>9.999</formula>
    </cfRule>
    <cfRule type="cellIs" dxfId="137" priority="3" operator="between">
      <formula>10</formula>
      <formula>9999.999</formula>
    </cfRule>
    <cfRule type="cellIs" dxfId="136" priority="2" operator="greaterThan">
      <formula>10000</formula>
    </cfRule>
  </conditionalFormatting>
  <conditionalFormatting sqref="O4:O5">
    <cfRule type="cellIs" dxfId="135" priority="152" stopIfTrue="1" operator="equal">
      <formula>0</formula>
    </cfRule>
    <cfRule type="cellIs" dxfId="134" priority="154" operator="lessThan">
      <formula>0.1</formula>
    </cfRule>
    <cfRule type="containsBlanks" dxfId="133" priority="153" stopIfTrue="1">
      <formula>LEN(TRIM(O4))=0</formula>
    </cfRule>
  </conditionalFormatting>
  <conditionalFormatting sqref="O10:O11">
    <cfRule type="cellIs" dxfId="132" priority="126" stopIfTrue="1" operator="equal">
      <formula>0</formula>
    </cfRule>
    <cfRule type="containsBlanks" dxfId="131" priority="127" stopIfTrue="1">
      <formula>LEN(TRIM(O10))=0</formula>
    </cfRule>
    <cfRule type="cellIs" dxfId="130" priority="128" operator="lessThan">
      <formula>0.1</formula>
    </cfRule>
  </conditionalFormatting>
  <dataValidations count="1">
    <dataValidation allowBlank="1" showErrorMessage="1" sqref="L4 L10" xr:uid="{0E2F5D05-59E6-4CA8-950E-8C0FEEEF3EDD}"/>
  </dataValidations>
  <pageMargins left="0.7" right="0.7" top="0.75" bottom="0.75" header="0.3" footer="0.3"/>
  <pageSetup orientation="portrait" r:id="rId1"/>
  <ignoredErrors>
    <ignoredError sqref="H22 H26 H34 H30" 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8AA2E77-9C7B-4A85-BD17-BFF4F592D56F}">
          <x14:formula1>
            <xm:f>'List Values'!$D$6:$D$8</xm:f>
          </x14:formula1>
          <xm:sqref>F4</xm:sqref>
        </x14:dataValidation>
        <x14:dataValidation type="list" allowBlank="1" showInputMessage="1" showErrorMessage="1" xr:uid="{D5F6A2A8-3149-4118-9B46-756968515682}">
          <x14:formula1>
            <xm:f>'List Values'!$B$2:$B$19</xm:f>
          </x14:formula1>
          <xm:sqref>C4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DFA29-5DDB-4018-BDB5-BC28E8281DEA}">
  <sheetPr codeName="Sheet7">
    <tabColor theme="1"/>
  </sheetPr>
  <dimension ref="A1:U81"/>
  <sheetViews>
    <sheetView topLeftCell="B28" zoomScale="120" zoomScaleNormal="120" workbookViewId="0">
      <selection activeCell="B1" sqref="B1"/>
    </sheetView>
  </sheetViews>
  <sheetFormatPr defaultColWidth="9.140625" defaultRowHeight="12.75" x14ac:dyDescent="0.2"/>
  <cols>
    <col min="1" max="1" width="10.140625" style="1" hidden="1" customWidth="1"/>
    <col min="2" max="2" width="11.42578125" style="13" customWidth="1"/>
    <col min="3" max="3" width="42.85546875" style="1" customWidth="1"/>
    <col min="4" max="4" width="24.5703125" style="1" customWidth="1"/>
    <col min="5" max="5" width="17.140625" style="13" customWidth="1"/>
    <col min="6" max="6" width="9.85546875" style="1" customWidth="1"/>
    <col min="7" max="8" width="16.85546875" style="1" customWidth="1"/>
    <col min="9" max="9" width="19.5703125" style="1" customWidth="1"/>
    <col min="10" max="10" width="14.42578125" style="1" customWidth="1"/>
    <col min="11" max="11" width="20" style="1" customWidth="1"/>
    <col min="12" max="12" width="12.85546875" style="1" customWidth="1"/>
    <col min="13" max="13" width="17.85546875" style="13" customWidth="1"/>
    <col min="14" max="14" width="15" style="1" bestFit="1" customWidth="1"/>
    <col min="15" max="15" width="14" style="1" bestFit="1" customWidth="1"/>
    <col min="16" max="17" width="17.85546875" style="13" customWidth="1"/>
    <col min="18" max="18" width="11" style="1" customWidth="1"/>
    <col min="19" max="19" width="11.28515625" style="1" customWidth="1"/>
    <col min="20" max="20" width="28.140625" style="1" customWidth="1"/>
    <col min="21" max="21" width="16.140625" style="1" customWidth="1"/>
    <col min="22" max="16384" width="9.140625" style="1"/>
  </cols>
  <sheetData>
    <row r="1" spans="1:21" ht="13.5" thickBot="1" x14ac:dyDescent="0.25">
      <c r="B1" s="2"/>
      <c r="C1" s="3"/>
      <c r="D1" s="379"/>
      <c r="E1" s="2"/>
      <c r="J1" s="253"/>
      <c r="K1" s="253"/>
      <c r="L1" s="3"/>
      <c r="M1" s="2"/>
      <c r="P1" s="2"/>
      <c r="Q1" s="2"/>
      <c r="R1" s="4"/>
      <c r="S1" s="4"/>
    </row>
    <row r="2" spans="1:21" ht="24" customHeight="1" thickBot="1" x14ac:dyDescent="0.25">
      <c r="B2" s="5"/>
      <c r="C2" s="5"/>
      <c r="D2" s="5"/>
      <c r="E2" s="5"/>
      <c r="F2" s="508" t="s">
        <v>124</v>
      </c>
      <c r="G2" s="509"/>
      <c r="H2" s="512" t="s">
        <v>125</v>
      </c>
      <c r="I2" s="512"/>
      <c r="J2" s="512" t="s">
        <v>126</v>
      </c>
      <c r="K2" s="512"/>
      <c r="L2" s="514" t="s">
        <v>58</v>
      </c>
      <c r="M2" s="515"/>
      <c r="N2" s="514" t="s">
        <v>59</v>
      </c>
      <c r="O2" s="515"/>
      <c r="P2" s="520" t="s">
        <v>127</v>
      </c>
      <c r="Q2" s="520"/>
      <c r="R2" s="6"/>
      <c r="S2" s="6"/>
      <c r="T2" s="6"/>
      <c r="U2" s="6"/>
    </row>
    <row r="3" spans="1:21" ht="18" customHeight="1" x14ac:dyDescent="0.2">
      <c r="B3" s="7"/>
      <c r="C3" s="7"/>
      <c r="D3" s="7"/>
      <c r="E3" s="7"/>
      <c r="F3" s="510"/>
      <c r="G3" s="511"/>
      <c r="H3" s="513" t="s">
        <v>376</v>
      </c>
      <c r="I3" s="513"/>
      <c r="J3" s="513" t="s">
        <v>376</v>
      </c>
      <c r="K3" s="513"/>
      <c r="L3" s="517" t="s">
        <v>62</v>
      </c>
      <c r="M3" s="518"/>
      <c r="N3" s="516" t="s">
        <v>128</v>
      </c>
      <c r="O3" s="516"/>
      <c r="P3" s="516" t="s">
        <v>64</v>
      </c>
      <c r="Q3" s="519"/>
      <c r="R3" s="7"/>
      <c r="S3" s="7"/>
      <c r="T3" s="7"/>
      <c r="U3" s="7"/>
    </row>
    <row r="4" spans="1:21" s="8" customFormat="1" ht="38.25" x14ac:dyDescent="0.2">
      <c r="A4" s="8" t="s">
        <v>129</v>
      </c>
      <c r="B4" s="9" t="s">
        <v>130</v>
      </c>
      <c r="C4" s="9" t="s">
        <v>131</v>
      </c>
      <c r="D4" s="9" t="s">
        <v>118</v>
      </c>
      <c r="E4" s="9" t="s">
        <v>132</v>
      </c>
      <c r="F4" s="299" t="s">
        <v>133</v>
      </c>
      <c r="G4" s="299" t="s">
        <v>134</v>
      </c>
      <c r="H4" s="10" t="s">
        <v>135</v>
      </c>
      <c r="I4" s="10" t="s">
        <v>136</v>
      </c>
      <c r="J4" s="10" t="s">
        <v>137</v>
      </c>
      <c r="K4" s="10" t="s">
        <v>138</v>
      </c>
      <c r="L4" s="306" t="s">
        <v>139</v>
      </c>
      <c r="M4" s="306" t="s">
        <v>140</v>
      </c>
      <c r="N4" s="307" t="s">
        <v>141</v>
      </c>
      <c r="O4" s="307" t="s">
        <v>142</v>
      </c>
      <c r="P4" s="306" t="s">
        <v>143</v>
      </c>
      <c r="Q4" s="306" t="s">
        <v>144</v>
      </c>
      <c r="R4" s="9" t="s">
        <v>145</v>
      </c>
      <c r="S4" s="9" t="s">
        <v>146</v>
      </c>
      <c r="T4" s="9" t="s">
        <v>147</v>
      </c>
      <c r="U4" s="9" t="s">
        <v>148</v>
      </c>
    </row>
    <row r="5" spans="1:21" ht="15" x14ac:dyDescent="0.2">
      <c r="B5" s="266">
        <v>1</v>
      </c>
      <c r="C5" s="262" t="s">
        <v>149</v>
      </c>
      <c r="D5" s="248" t="s">
        <v>52</v>
      </c>
      <c r="E5" s="11" t="s">
        <v>150</v>
      </c>
      <c r="F5" s="11">
        <v>250</v>
      </c>
      <c r="G5" s="11">
        <v>250</v>
      </c>
      <c r="H5" s="249">
        <v>0</v>
      </c>
      <c r="I5" s="249">
        <v>0</v>
      </c>
      <c r="J5" s="249">
        <v>5</v>
      </c>
      <c r="K5" s="269">
        <v>0.48</v>
      </c>
      <c r="L5" s="276">
        <f>((H5*ED_8+(J5*ED_8))*WorkBreathRate)/IF(Inhalation_Exp[[#This Row],[Worker Type]]="Female of Reproductive Age",BW_F,BW_default)</f>
        <v>0.625</v>
      </c>
      <c r="M5" s="304">
        <f>((I5*ED_8+(K5*ED_8))*WorkBreathRate)/IF(Inhalation_Exp[[#This Row],[Worker Type]]="Female of Reproductive Age",BW_F,BW_default)</f>
        <v>0.06</v>
      </c>
      <c r="N5" s="276">
        <f>IF(EFID&gt;Inhalation_Exp[[#This Row],[ED_High-End]],Inhalation_Exp[[#This Row],[24hr_High-End]]*Inhalation_Exp[[#This Row],[ED_High-End]]/ID,Inhalation_Exp[[#This Row],[24hr_High-End]]*EFID/ID)</f>
        <v>0.45833333333333331</v>
      </c>
      <c r="O5" s="304">
        <f>IF(EFID&gt;Inhalation_Exp[[#This Row],[ED_Central Tendency]],Inhalation_Exp[[#This Row],[24hr_Central Tendency]]*Inhalation_Exp[[#This Row],[ED_Central Tendency]]/ID,Inhalation_Exp[[#This Row],[24hr_Central Tendency]]*EFID/ID)</f>
        <v>4.3999999999999997E-2</v>
      </c>
      <c r="P5" s="276">
        <f t="shared" ref="P5:P36" si="0">L5*F5*WY_high/(WY_high*365)</f>
        <v>0.42808219178082191</v>
      </c>
      <c r="Q5" s="304">
        <f t="shared" ref="Q5:Q36" si="1">M5*G5*WY_mid/(WY_mid*365)</f>
        <v>4.1095890410958902E-2</v>
      </c>
      <c r="R5" s="250" t="s">
        <v>151</v>
      </c>
      <c r="S5" s="250" t="s">
        <v>151</v>
      </c>
      <c r="T5" s="12" t="s">
        <v>152</v>
      </c>
      <c r="U5" s="251" t="s">
        <v>153</v>
      </c>
    </row>
    <row r="6" spans="1:21" ht="15" x14ac:dyDescent="0.2">
      <c r="A6" s="225"/>
      <c r="B6" s="266">
        <v>1</v>
      </c>
      <c r="C6" s="262" t="s">
        <v>149</v>
      </c>
      <c r="D6" s="248" t="s">
        <v>96</v>
      </c>
      <c r="E6" s="11" t="s">
        <v>150</v>
      </c>
      <c r="F6" s="11">
        <v>250</v>
      </c>
      <c r="G6" s="11">
        <v>250</v>
      </c>
      <c r="H6" s="249">
        <v>0</v>
      </c>
      <c r="I6" s="249">
        <v>0</v>
      </c>
      <c r="J6" s="249">
        <v>5</v>
      </c>
      <c r="K6" s="249">
        <v>0.48</v>
      </c>
      <c r="L6" s="276">
        <f>((H6*ED_8+(J6*ED_8))*WorkBreathRate)/IF(Inhalation_Exp[[#This Row],[Worker Type]]="Female of Reproductive Age",BW_F,BW_default)</f>
        <v>0.69036934760096635</v>
      </c>
      <c r="M6" s="276">
        <f>((I6*ED_8+(K6*ED_8))*WorkBreathRate)/IF(Inhalation_Exp[[#This Row],[Worker Type]]="Female of Reproductive Age",BW_F,BW_default)</f>
        <v>6.6275457369692772E-2</v>
      </c>
      <c r="N6" s="276">
        <f>IF(EFID&gt;Inhalation_Exp[[#This Row],[ED_High-End]],Inhalation_Exp[[#This Row],[24hr_High-End]]*Inhalation_Exp[[#This Row],[ED_High-End]]/ID,Inhalation_Exp[[#This Row],[24hr_High-End]]*EFID/ID)</f>
        <v>0.50627085490737533</v>
      </c>
      <c r="O6" s="304">
        <f>IF(EFID&gt;Inhalation_Exp[[#This Row],[ED_Central Tendency]],Inhalation_Exp[[#This Row],[24hr_Central Tendency]]*Inhalation_Exp[[#This Row],[ED_Central Tendency]]/ID,Inhalation_Exp[[#This Row],[24hr_Central Tendency]]*EFID/ID)</f>
        <v>4.8602002071108028E-2</v>
      </c>
      <c r="P6" s="276">
        <f t="shared" si="0"/>
        <v>0.4728557175349084</v>
      </c>
      <c r="Q6" s="304">
        <f t="shared" si="1"/>
        <v>4.5394148883351214E-2</v>
      </c>
      <c r="R6" s="250" t="s">
        <v>151</v>
      </c>
      <c r="S6" s="250" t="s">
        <v>151</v>
      </c>
      <c r="T6" s="12" t="s">
        <v>152</v>
      </c>
      <c r="U6" s="251" t="s">
        <v>153</v>
      </c>
    </row>
    <row r="7" spans="1:21" ht="25.5" x14ac:dyDescent="0.2">
      <c r="A7" s="225"/>
      <c r="B7" s="266">
        <v>1</v>
      </c>
      <c r="C7" s="262" t="s">
        <v>149</v>
      </c>
      <c r="D7" s="248" t="s">
        <v>69</v>
      </c>
      <c r="E7" s="11" t="s">
        <v>150</v>
      </c>
      <c r="F7" s="11">
        <v>250</v>
      </c>
      <c r="G7" s="11">
        <v>250</v>
      </c>
      <c r="H7" s="249">
        <v>0</v>
      </c>
      <c r="I7" s="249">
        <v>0</v>
      </c>
      <c r="J7" s="249">
        <v>0.48</v>
      </c>
      <c r="K7" s="249">
        <v>0.48</v>
      </c>
      <c r="L7" s="276">
        <f>((H7*ED_8+(J7*ED_8))*WorkBreathRate)/IF(Inhalation_Exp[[#This Row],[Worker Type]]="Female of Reproductive Age",BW_F,BW_default)</f>
        <v>0.06</v>
      </c>
      <c r="M7" s="276">
        <f>((I7*ED_8+(K7*ED_8))*WorkBreathRate)/IF(Inhalation_Exp[[#This Row],[Worker Type]]="Female of Reproductive Age",BW_F,BW_default)</f>
        <v>0.06</v>
      </c>
      <c r="N7" s="276">
        <f>IF(EFID&gt;Inhalation_Exp[[#This Row],[ED_High-End]],Inhalation_Exp[[#This Row],[24hr_High-End]]*Inhalation_Exp[[#This Row],[ED_High-End]]/ID,Inhalation_Exp[[#This Row],[24hr_High-End]]*EFID/ID)</f>
        <v>4.3999999999999997E-2</v>
      </c>
      <c r="O7" s="304">
        <f>IF(EFID&gt;Inhalation_Exp[[#This Row],[ED_Central Tendency]],Inhalation_Exp[[#This Row],[24hr_Central Tendency]]*Inhalation_Exp[[#This Row],[ED_Central Tendency]]/ID,Inhalation_Exp[[#This Row],[24hr_Central Tendency]]*EFID/ID)</f>
        <v>4.3999999999999997E-2</v>
      </c>
      <c r="P7" s="276">
        <f t="shared" si="0"/>
        <v>4.1095890410958902E-2</v>
      </c>
      <c r="Q7" s="304">
        <f t="shared" si="1"/>
        <v>4.1095890410958902E-2</v>
      </c>
      <c r="R7" s="250" t="s">
        <v>151</v>
      </c>
      <c r="S7" s="250" t="s">
        <v>151</v>
      </c>
      <c r="T7" s="12" t="s">
        <v>154</v>
      </c>
      <c r="U7" s="251" t="s">
        <v>153</v>
      </c>
    </row>
    <row r="8" spans="1:21" ht="15" x14ac:dyDescent="0.2">
      <c r="B8" s="266">
        <v>1</v>
      </c>
      <c r="C8" s="262" t="s">
        <v>155</v>
      </c>
      <c r="D8" s="248" t="s">
        <v>52</v>
      </c>
      <c r="E8" s="11" t="s">
        <v>150</v>
      </c>
      <c r="F8" s="11">
        <v>250</v>
      </c>
      <c r="G8" s="11">
        <v>208</v>
      </c>
      <c r="H8" s="249">
        <v>0</v>
      </c>
      <c r="I8" s="249">
        <v>0</v>
      </c>
      <c r="J8" s="249">
        <v>3</v>
      </c>
      <c r="K8" s="269">
        <v>0.13</v>
      </c>
      <c r="L8" s="276">
        <f>((H8*ED_8+(J8*ED_8))*WorkBreathRate)/IF(Inhalation_Exp[[#This Row],[Worker Type]]="Female of Reproductive Age",BW_F,BW_default)</f>
        <v>0.375</v>
      </c>
      <c r="M8" s="304">
        <f>((I8*ED_8+(K8*ED_8))*WorkBreathRate)/IF(Inhalation_Exp[[#This Row],[Worker Type]]="Female of Reproductive Age",BW_F,BW_default)</f>
        <v>1.6250000000000001E-2</v>
      </c>
      <c r="N8" s="276">
        <f>IF(EFID&gt;Inhalation_Exp[[#This Row],[ED_High-End]],Inhalation_Exp[[#This Row],[24hr_High-End]]*Inhalation_Exp[[#This Row],[ED_High-End]]/ID,Inhalation_Exp[[#This Row],[24hr_High-End]]*EFID/ID)</f>
        <v>0.27500000000000002</v>
      </c>
      <c r="O8" s="304">
        <f>IF(EFID&gt;Inhalation_Exp[[#This Row],[ED_Central Tendency]],Inhalation_Exp[[#This Row],[24hr_Central Tendency]]*Inhalation_Exp[[#This Row],[ED_Central Tendency]]/ID,Inhalation_Exp[[#This Row],[24hr_Central Tendency]]*EFID/ID)</f>
        <v>1.1916666666666667E-2</v>
      </c>
      <c r="P8" s="276">
        <f t="shared" si="0"/>
        <v>0.25684931506849318</v>
      </c>
      <c r="Q8" s="304">
        <f t="shared" si="1"/>
        <v>9.2602739726027391E-3</v>
      </c>
      <c r="R8" s="250" t="s">
        <v>151</v>
      </c>
      <c r="S8" s="250" t="s">
        <v>151</v>
      </c>
      <c r="T8" s="12" t="s">
        <v>152</v>
      </c>
      <c r="U8" s="251" t="s">
        <v>153</v>
      </c>
    </row>
    <row r="9" spans="1:21" ht="15" x14ac:dyDescent="0.2">
      <c r="A9" s="225"/>
      <c r="B9" s="266">
        <v>1</v>
      </c>
      <c r="C9" s="262" t="s">
        <v>155</v>
      </c>
      <c r="D9" s="248" t="s">
        <v>96</v>
      </c>
      <c r="E9" s="11" t="s">
        <v>150</v>
      </c>
      <c r="F9" s="11">
        <v>250</v>
      </c>
      <c r="G9" s="11">
        <v>208</v>
      </c>
      <c r="H9" s="249">
        <v>0</v>
      </c>
      <c r="I9" s="249">
        <v>0</v>
      </c>
      <c r="J9" s="249">
        <v>3</v>
      </c>
      <c r="K9" s="249">
        <v>0.13</v>
      </c>
      <c r="L9" s="276">
        <f>((H9*ED_8+(J9*ED_8))*WorkBreathRate)/IF(Inhalation_Exp[[#This Row],[Worker Type]]="Female of Reproductive Age",BW_F,BW_default)</f>
        <v>0.41422160856057982</v>
      </c>
      <c r="M9" s="276">
        <f>((I9*ED_8+(K9*ED_8))*WorkBreathRate)/IF(Inhalation_Exp[[#This Row],[Worker Type]]="Female of Reproductive Age",BW_F,BW_default)</f>
        <v>1.7949603037625127E-2</v>
      </c>
      <c r="N9" s="276">
        <f>IF(EFID&gt;Inhalation_Exp[[#This Row],[ED_High-End]],Inhalation_Exp[[#This Row],[24hr_High-End]]*Inhalation_Exp[[#This Row],[ED_High-End]]/ID,Inhalation_Exp[[#This Row],[24hr_High-End]]*EFID/ID)</f>
        <v>0.30376251294442524</v>
      </c>
      <c r="O9" s="304">
        <f>IF(EFID&gt;Inhalation_Exp[[#This Row],[ED_Central Tendency]],Inhalation_Exp[[#This Row],[24hr_Central Tendency]]*Inhalation_Exp[[#This Row],[ED_Central Tendency]]/ID,Inhalation_Exp[[#This Row],[24hr_Central Tendency]]*EFID/ID)</f>
        <v>1.3163042227591759E-2</v>
      </c>
      <c r="P9" s="276">
        <f t="shared" si="0"/>
        <v>0.28371343052094505</v>
      </c>
      <c r="Q9" s="304">
        <f t="shared" si="1"/>
        <v>1.0228814881715141E-2</v>
      </c>
      <c r="R9" s="250" t="s">
        <v>151</v>
      </c>
      <c r="S9" s="250" t="s">
        <v>151</v>
      </c>
      <c r="T9" s="12" t="s">
        <v>152</v>
      </c>
      <c r="U9" s="251" t="s">
        <v>153</v>
      </c>
    </row>
    <row r="10" spans="1:21" ht="25.5" x14ac:dyDescent="0.2">
      <c r="A10" s="225"/>
      <c r="B10" s="266">
        <v>1</v>
      </c>
      <c r="C10" s="262" t="s">
        <v>155</v>
      </c>
      <c r="D10" s="248" t="s">
        <v>69</v>
      </c>
      <c r="E10" s="11" t="s">
        <v>150</v>
      </c>
      <c r="F10" s="11">
        <v>250</v>
      </c>
      <c r="G10" s="11">
        <v>208</v>
      </c>
      <c r="H10" s="249">
        <v>0</v>
      </c>
      <c r="I10" s="249">
        <v>0</v>
      </c>
      <c r="J10" s="249">
        <v>0.13</v>
      </c>
      <c r="K10" s="249">
        <v>0.13</v>
      </c>
      <c r="L10" s="276">
        <f>((H10*ED_8+(J10*ED_8))*WorkBreathRate)/IF(Inhalation_Exp[[#This Row],[Worker Type]]="Female of Reproductive Age",BW_F,BW_default)</f>
        <v>1.6250000000000001E-2</v>
      </c>
      <c r="M10" s="276">
        <f>((I10*ED_8+(K10*ED_8))*WorkBreathRate)/IF(Inhalation_Exp[[#This Row],[Worker Type]]="Female of Reproductive Age",BW_F,BW_default)</f>
        <v>1.6250000000000001E-2</v>
      </c>
      <c r="N10" s="276">
        <f>IF(EFID&gt;Inhalation_Exp[[#This Row],[ED_High-End]],Inhalation_Exp[[#This Row],[24hr_High-End]]*Inhalation_Exp[[#This Row],[ED_High-End]]/ID,Inhalation_Exp[[#This Row],[24hr_High-End]]*EFID/ID)</f>
        <v>1.1916666666666667E-2</v>
      </c>
      <c r="O10" s="304">
        <f>IF(EFID&gt;Inhalation_Exp[[#This Row],[ED_Central Tendency]],Inhalation_Exp[[#This Row],[24hr_Central Tendency]]*Inhalation_Exp[[#This Row],[ED_Central Tendency]]/ID,Inhalation_Exp[[#This Row],[24hr_Central Tendency]]*EFID/ID)</f>
        <v>1.1916666666666667E-2</v>
      </c>
      <c r="P10" s="276">
        <f t="shared" si="0"/>
        <v>1.1130136986301369E-2</v>
      </c>
      <c r="Q10" s="304">
        <f t="shared" si="1"/>
        <v>9.2602739726027391E-3</v>
      </c>
      <c r="R10" s="250" t="s">
        <v>151</v>
      </c>
      <c r="S10" s="250" t="s">
        <v>151</v>
      </c>
      <c r="T10" s="12" t="s">
        <v>154</v>
      </c>
      <c r="U10" s="251" t="s">
        <v>153</v>
      </c>
    </row>
    <row r="11" spans="1:21" ht="15" x14ac:dyDescent="0.2">
      <c r="A11" s="225"/>
      <c r="B11" s="267">
        <v>2</v>
      </c>
      <c r="C11" s="263" t="s">
        <v>156</v>
      </c>
      <c r="D11" s="248" t="s">
        <v>52</v>
      </c>
      <c r="E11" s="11" t="s">
        <v>150</v>
      </c>
      <c r="F11" s="11">
        <v>250</v>
      </c>
      <c r="G11" s="11">
        <v>250</v>
      </c>
      <c r="H11" s="249">
        <v>0</v>
      </c>
      <c r="I11" s="249">
        <v>0</v>
      </c>
      <c r="J11" s="249">
        <v>5</v>
      </c>
      <c r="K11" s="269">
        <v>0.48</v>
      </c>
      <c r="L11" s="276">
        <f>((H11*ED_8+(J11*ED_8))*WorkBreathRate)/IF(Inhalation_Exp[[#This Row],[Worker Type]]="Female of Reproductive Age",BW_F,BW_default)</f>
        <v>0.625</v>
      </c>
      <c r="M11" s="304">
        <f>((I11*ED_8+(K11*ED_8))*WorkBreathRate)/IF(Inhalation_Exp[[#This Row],[Worker Type]]="Female of Reproductive Age",BW_F,BW_default)</f>
        <v>0.06</v>
      </c>
      <c r="N11" s="276">
        <f>IF(EFID&gt;Inhalation_Exp[[#This Row],[ED_High-End]],Inhalation_Exp[[#This Row],[24hr_High-End]]*Inhalation_Exp[[#This Row],[ED_High-End]]/ID,Inhalation_Exp[[#This Row],[24hr_High-End]]*EFID/ID)</f>
        <v>0.45833333333333331</v>
      </c>
      <c r="O11" s="304">
        <f>IF(EFID&gt;Inhalation_Exp[[#This Row],[ED_Central Tendency]],Inhalation_Exp[[#This Row],[24hr_Central Tendency]]*Inhalation_Exp[[#This Row],[ED_Central Tendency]]/ID,Inhalation_Exp[[#This Row],[24hr_Central Tendency]]*EFID/ID)</f>
        <v>4.3999999999999997E-2</v>
      </c>
      <c r="P11" s="276">
        <f t="shared" si="0"/>
        <v>0.42808219178082191</v>
      </c>
      <c r="Q11" s="304">
        <f t="shared" si="1"/>
        <v>4.1095890410958902E-2</v>
      </c>
      <c r="R11" s="250" t="s">
        <v>151</v>
      </c>
      <c r="S11" s="250" t="s">
        <v>151</v>
      </c>
      <c r="T11" s="12" t="s">
        <v>152</v>
      </c>
      <c r="U11" s="251" t="s">
        <v>153</v>
      </c>
    </row>
    <row r="12" spans="1:21" ht="15" x14ac:dyDescent="0.2">
      <c r="A12" s="225"/>
      <c r="B12" s="267">
        <v>2</v>
      </c>
      <c r="C12" s="263" t="s">
        <v>156</v>
      </c>
      <c r="D12" s="248" t="s">
        <v>96</v>
      </c>
      <c r="E12" s="11" t="s">
        <v>150</v>
      </c>
      <c r="F12" s="11">
        <v>250</v>
      </c>
      <c r="G12" s="11">
        <v>250</v>
      </c>
      <c r="H12" s="249">
        <v>0</v>
      </c>
      <c r="I12" s="249">
        <v>0</v>
      </c>
      <c r="J12" s="249">
        <v>5</v>
      </c>
      <c r="K12" s="249">
        <v>0.48</v>
      </c>
      <c r="L12" s="276">
        <f>((H12*ED_8+(J12*ED_8))*WorkBreathRate)/IF(Inhalation_Exp[[#This Row],[Worker Type]]="Female of Reproductive Age",BW_F,BW_default)</f>
        <v>0.69036934760096635</v>
      </c>
      <c r="M12" s="276">
        <f>((I12*ED_8+(K12*ED_8))*WorkBreathRate)/IF(Inhalation_Exp[[#This Row],[Worker Type]]="Female of Reproductive Age",BW_F,BW_default)</f>
        <v>6.6275457369692772E-2</v>
      </c>
      <c r="N12" s="276">
        <f>IF(EFID&gt;Inhalation_Exp[[#This Row],[ED_High-End]],Inhalation_Exp[[#This Row],[24hr_High-End]]*Inhalation_Exp[[#This Row],[ED_High-End]]/ID,Inhalation_Exp[[#This Row],[24hr_High-End]]*EFID/ID)</f>
        <v>0.50627085490737533</v>
      </c>
      <c r="O12" s="304">
        <f>IF(EFID&gt;Inhalation_Exp[[#This Row],[ED_Central Tendency]],Inhalation_Exp[[#This Row],[24hr_Central Tendency]]*Inhalation_Exp[[#This Row],[ED_Central Tendency]]/ID,Inhalation_Exp[[#This Row],[24hr_Central Tendency]]*EFID/ID)</f>
        <v>4.8602002071108028E-2</v>
      </c>
      <c r="P12" s="276">
        <f t="shared" si="0"/>
        <v>0.4728557175349084</v>
      </c>
      <c r="Q12" s="304">
        <f t="shared" si="1"/>
        <v>4.5394148883351214E-2</v>
      </c>
      <c r="R12" s="250" t="s">
        <v>151</v>
      </c>
      <c r="S12" s="250" t="s">
        <v>151</v>
      </c>
      <c r="T12" s="12" t="s">
        <v>152</v>
      </c>
      <c r="U12" s="251" t="s">
        <v>153</v>
      </c>
    </row>
    <row r="13" spans="1:21" ht="25.5" x14ac:dyDescent="0.2">
      <c r="A13" s="225"/>
      <c r="B13" s="267">
        <v>2</v>
      </c>
      <c r="C13" s="263" t="s">
        <v>156</v>
      </c>
      <c r="D13" s="248" t="s">
        <v>69</v>
      </c>
      <c r="E13" s="11" t="s">
        <v>150</v>
      </c>
      <c r="F13" s="11">
        <v>250</v>
      </c>
      <c r="G13" s="11">
        <v>250</v>
      </c>
      <c r="H13" s="249">
        <v>0</v>
      </c>
      <c r="I13" s="249">
        <v>0</v>
      </c>
      <c r="J13" s="249">
        <v>0.48</v>
      </c>
      <c r="K13" s="249">
        <v>0.48</v>
      </c>
      <c r="L13" s="276">
        <f>((H13*ED_8+(J13*ED_8))*WorkBreathRate)/IF(Inhalation_Exp[[#This Row],[Worker Type]]="Female of Reproductive Age",BW_F,BW_default)</f>
        <v>0.06</v>
      </c>
      <c r="M13" s="276">
        <f>((I13*ED_8+(K13*ED_8))*WorkBreathRate)/IF(Inhalation_Exp[[#This Row],[Worker Type]]="Female of Reproductive Age",BW_F,BW_default)</f>
        <v>0.06</v>
      </c>
      <c r="N13" s="276">
        <f>IF(EFID&gt;Inhalation_Exp[[#This Row],[ED_High-End]],Inhalation_Exp[[#This Row],[24hr_High-End]]*Inhalation_Exp[[#This Row],[ED_High-End]]/ID,Inhalation_Exp[[#This Row],[24hr_High-End]]*EFID/ID)</f>
        <v>4.3999999999999997E-2</v>
      </c>
      <c r="O13" s="304">
        <f>IF(EFID&gt;Inhalation_Exp[[#This Row],[ED_Central Tendency]],Inhalation_Exp[[#This Row],[24hr_Central Tendency]]*Inhalation_Exp[[#This Row],[ED_Central Tendency]]/ID,Inhalation_Exp[[#This Row],[24hr_Central Tendency]]*EFID/ID)</f>
        <v>4.3999999999999997E-2</v>
      </c>
      <c r="P13" s="276">
        <f t="shared" si="0"/>
        <v>4.1095890410958902E-2</v>
      </c>
      <c r="Q13" s="304">
        <f t="shared" si="1"/>
        <v>4.1095890410958902E-2</v>
      </c>
      <c r="R13" s="250" t="s">
        <v>151</v>
      </c>
      <c r="S13" s="250" t="s">
        <v>151</v>
      </c>
      <c r="T13" s="12" t="s">
        <v>154</v>
      </c>
      <c r="U13" s="251" t="s">
        <v>153</v>
      </c>
    </row>
    <row r="14" spans="1:21" ht="15" x14ac:dyDescent="0.2">
      <c r="B14" s="267">
        <v>2</v>
      </c>
      <c r="C14" s="263" t="s">
        <v>157</v>
      </c>
      <c r="D14" s="248" t="s">
        <v>52</v>
      </c>
      <c r="E14" s="11" t="s">
        <v>150</v>
      </c>
      <c r="F14" s="11">
        <v>250</v>
      </c>
      <c r="G14" s="11">
        <v>250</v>
      </c>
      <c r="H14" s="249">
        <v>0</v>
      </c>
      <c r="I14" s="249">
        <v>0</v>
      </c>
      <c r="J14" s="249">
        <v>5</v>
      </c>
      <c r="K14" s="269">
        <v>0.48</v>
      </c>
      <c r="L14" s="276">
        <f>((H14*ED_8+(J14*ED_8))*WorkBreathRate)/IF(Inhalation_Exp[[#This Row],[Worker Type]]="Female of Reproductive Age",BW_F,BW_default)</f>
        <v>0.625</v>
      </c>
      <c r="M14" s="304">
        <f>((I14*ED_8+(K14*ED_8))*WorkBreathRate)/IF(Inhalation_Exp[[#This Row],[Worker Type]]="Female of Reproductive Age",BW_F,BW_default)</f>
        <v>0.06</v>
      </c>
      <c r="N14" s="276">
        <f>IF(EFID&gt;Inhalation_Exp[[#This Row],[ED_High-End]],Inhalation_Exp[[#This Row],[24hr_High-End]]*Inhalation_Exp[[#This Row],[ED_High-End]]/ID,Inhalation_Exp[[#This Row],[24hr_High-End]]*EFID/ID)</f>
        <v>0.45833333333333331</v>
      </c>
      <c r="O14" s="304">
        <f>IF(EFID&gt;Inhalation_Exp[[#This Row],[ED_Central Tendency]],Inhalation_Exp[[#This Row],[24hr_Central Tendency]]*Inhalation_Exp[[#This Row],[ED_Central Tendency]]/ID,Inhalation_Exp[[#This Row],[24hr_Central Tendency]]*EFID/ID)</f>
        <v>4.3999999999999997E-2</v>
      </c>
      <c r="P14" s="276">
        <f t="shared" si="0"/>
        <v>0.42808219178082191</v>
      </c>
      <c r="Q14" s="304">
        <f t="shared" si="1"/>
        <v>4.1095890410958902E-2</v>
      </c>
      <c r="R14" s="250" t="s">
        <v>151</v>
      </c>
      <c r="S14" s="250" t="s">
        <v>151</v>
      </c>
      <c r="T14" s="12" t="s">
        <v>152</v>
      </c>
      <c r="U14" s="251" t="s">
        <v>153</v>
      </c>
    </row>
    <row r="15" spans="1:21" ht="15" x14ac:dyDescent="0.2">
      <c r="A15" s="225"/>
      <c r="B15" s="267">
        <v>2</v>
      </c>
      <c r="C15" s="263" t="s">
        <v>157</v>
      </c>
      <c r="D15" s="248" t="s">
        <v>96</v>
      </c>
      <c r="E15" s="11" t="s">
        <v>150</v>
      </c>
      <c r="F15" s="11">
        <v>250</v>
      </c>
      <c r="G15" s="11">
        <v>250</v>
      </c>
      <c r="H15" s="249">
        <v>0</v>
      </c>
      <c r="I15" s="249">
        <v>0</v>
      </c>
      <c r="J15" s="249">
        <v>5</v>
      </c>
      <c r="K15" s="249">
        <v>0.48</v>
      </c>
      <c r="L15" s="276">
        <f>((H15*ED_8+(J15*ED_8))*WorkBreathRate)/IF(Inhalation_Exp[[#This Row],[Worker Type]]="Female of Reproductive Age",BW_F,BW_default)</f>
        <v>0.69036934760096635</v>
      </c>
      <c r="M15" s="276">
        <f>((I15*ED_8+(K15*ED_8))*WorkBreathRate)/IF(Inhalation_Exp[[#This Row],[Worker Type]]="Female of Reproductive Age",BW_F,BW_default)</f>
        <v>6.6275457369692772E-2</v>
      </c>
      <c r="N15" s="276">
        <f>IF(EFID&gt;Inhalation_Exp[[#This Row],[ED_High-End]],Inhalation_Exp[[#This Row],[24hr_High-End]]*Inhalation_Exp[[#This Row],[ED_High-End]]/ID,Inhalation_Exp[[#This Row],[24hr_High-End]]*EFID/ID)</f>
        <v>0.50627085490737533</v>
      </c>
      <c r="O15" s="304">
        <f>IF(EFID&gt;Inhalation_Exp[[#This Row],[ED_Central Tendency]],Inhalation_Exp[[#This Row],[24hr_Central Tendency]]*Inhalation_Exp[[#This Row],[ED_Central Tendency]]/ID,Inhalation_Exp[[#This Row],[24hr_Central Tendency]]*EFID/ID)</f>
        <v>4.8602002071108028E-2</v>
      </c>
      <c r="P15" s="276">
        <f t="shared" si="0"/>
        <v>0.4728557175349084</v>
      </c>
      <c r="Q15" s="304">
        <f t="shared" si="1"/>
        <v>4.5394148883351214E-2</v>
      </c>
      <c r="R15" s="250" t="s">
        <v>151</v>
      </c>
      <c r="S15" s="250" t="s">
        <v>151</v>
      </c>
      <c r="T15" s="12" t="s">
        <v>152</v>
      </c>
      <c r="U15" s="251" t="s">
        <v>153</v>
      </c>
    </row>
    <row r="16" spans="1:21" ht="25.5" x14ac:dyDescent="0.2">
      <c r="A16" s="225"/>
      <c r="B16" s="267">
        <v>2</v>
      </c>
      <c r="C16" s="263" t="s">
        <v>157</v>
      </c>
      <c r="D16" s="248" t="s">
        <v>69</v>
      </c>
      <c r="E16" s="11" t="s">
        <v>150</v>
      </c>
      <c r="F16" s="11">
        <v>250</v>
      </c>
      <c r="G16" s="11">
        <v>250</v>
      </c>
      <c r="H16" s="249">
        <v>0</v>
      </c>
      <c r="I16" s="249">
        <v>0</v>
      </c>
      <c r="J16" s="249">
        <v>0.48</v>
      </c>
      <c r="K16" s="249">
        <v>0.48</v>
      </c>
      <c r="L16" s="276">
        <f>((H16*ED_8+(J16*ED_8))*WorkBreathRate)/IF(Inhalation_Exp[[#This Row],[Worker Type]]="Female of Reproductive Age",BW_F,BW_default)</f>
        <v>0.06</v>
      </c>
      <c r="M16" s="276">
        <f>((I16*ED_8+(K16*ED_8))*WorkBreathRate)/IF(Inhalation_Exp[[#This Row],[Worker Type]]="Female of Reproductive Age",BW_F,BW_default)</f>
        <v>0.06</v>
      </c>
      <c r="N16" s="276">
        <f>IF(EFID&gt;Inhalation_Exp[[#This Row],[ED_High-End]],Inhalation_Exp[[#This Row],[24hr_High-End]]*Inhalation_Exp[[#This Row],[ED_High-End]]/ID,Inhalation_Exp[[#This Row],[24hr_High-End]]*EFID/ID)</f>
        <v>4.3999999999999997E-2</v>
      </c>
      <c r="O16" s="304">
        <f>IF(EFID&gt;Inhalation_Exp[[#This Row],[ED_Central Tendency]],Inhalation_Exp[[#This Row],[24hr_Central Tendency]]*Inhalation_Exp[[#This Row],[ED_Central Tendency]]/ID,Inhalation_Exp[[#This Row],[24hr_Central Tendency]]*EFID/ID)</f>
        <v>4.3999999999999997E-2</v>
      </c>
      <c r="P16" s="276">
        <f t="shared" si="0"/>
        <v>4.1095890410958902E-2</v>
      </c>
      <c r="Q16" s="304">
        <f t="shared" si="1"/>
        <v>4.1095890410958902E-2</v>
      </c>
      <c r="R16" s="250" t="s">
        <v>151</v>
      </c>
      <c r="S16" s="250" t="s">
        <v>151</v>
      </c>
      <c r="T16" s="12" t="s">
        <v>154</v>
      </c>
      <c r="U16" s="251" t="s">
        <v>153</v>
      </c>
    </row>
    <row r="17" spans="1:21" ht="30" x14ac:dyDescent="0.2">
      <c r="A17" s="225"/>
      <c r="B17" s="267">
        <v>2</v>
      </c>
      <c r="C17" s="277" t="s">
        <v>158</v>
      </c>
      <c r="D17" s="248" t="s">
        <v>52</v>
      </c>
      <c r="E17" s="11" t="s">
        <v>150</v>
      </c>
      <c r="F17" s="11">
        <v>250</v>
      </c>
      <c r="G17" s="11">
        <v>250</v>
      </c>
      <c r="H17" s="249">
        <v>0</v>
      </c>
      <c r="I17" s="249">
        <v>0</v>
      </c>
      <c r="J17" s="249">
        <v>5</v>
      </c>
      <c r="K17" s="269">
        <v>0.48</v>
      </c>
      <c r="L17" s="276">
        <f>((H17*ED_8+(J17*ED_8))*WorkBreathRate)/IF(Inhalation_Exp[[#This Row],[Worker Type]]="Female of Reproductive Age",BW_F,BW_default)</f>
        <v>0.625</v>
      </c>
      <c r="M17" s="304">
        <f>((I17*ED_8+(K17*ED_8))*WorkBreathRate)/IF(Inhalation_Exp[[#This Row],[Worker Type]]="Female of Reproductive Age",BW_F,BW_default)</f>
        <v>0.06</v>
      </c>
      <c r="N17" s="276">
        <f>IF(EFID&gt;Inhalation_Exp[[#This Row],[ED_High-End]],Inhalation_Exp[[#This Row],[24hr_High-End]]*Inhalation_Exp[[#This Row],[ED_High-End]]/ID,Inhalation_Exp[[#This Row],[24hr_High-End]]*EFID/ID)</f>
        <v>0.45833333333333331</v>
      </c>
      <c r="O17" s="304">
        <f>IF(EFID&gt;Inhalation_Exp[[#This Row],[ED_Central Tendency]],Inhalation_Exp[[#This Row],[24hr_Central Tendency]]*Inhalation_Exp[[#This Row],[ED_Central Tendency]]/ID,Inhalation_Exp[[#This Row],[24hr_Central Tendency]]*EFID/ID)</f>
        <v>4.3999999999999997E-2</v>
      </c>
      <c r="P17" s="276">
        <f t="shared" si="0"/>
        <v>0.42808219178082191</v>
      </c>
      <c r="Q17" s="304">
        <f t="shared" si="1"/>
        <v>4.1095890410958902E-2</v>
      </c>
      <c r="R17" s="250" t="s">
        <v>151</v>
      </c>
      <c r="S17" s="250" t="s">
        <v>151</v>
      </c>
      <c r="T17" s="12" t="s">
        <v>152</v>
      </c>
      <c r="U17" s="251" t="s">
        <v>153</v>
      </c>
    </row>
    <row r="18" spans="1:21" ht="30" x14ac:dyDescent="0.2">
      <c r="A18" s="225"/>
      <c r="B18" s="267">
        <v>2</v>
      </c>
      <c r="C18" s="277" t="s">
        <v>158</v>
      </c>
      <c r="D18" s="248" t="s">
        <v>96</v>
      </c>
      <c r="E18" s="11" t="s">
        <v>150</v>
      </c>
      <c r="F18" s="11">
        <v>250</v>
      </c>
      <c r="G18" s="11">
        <v>250</v>
      </c>
      <c r="H18" s="249">
        <v>0</v>
      </c>
      <c r="I18" s="249">
        <v>0</v>
      </c>
      <c r="J18" s="249">
        <v>5</v>
      </c>
      <c r="K18" s="249">
        <v>0.48</v>
      </c>
      <c r="L18" s="276">
        <f>((H18*ED_8+(J18*ED_8))*WorkBreathRate)/IF(Inhalation_Exp[[#This Row],[Worker Type]]="Female of Reproductive Age",BW_F,BW_default)</f>
        <v>0.69036934760096635</v>
      </c>
      <c r="M18" s="276">
        <f>((I18*ED_8+(K18*ED_8))*WorkBreathRate)/IF(Inhalation_Exp[[#This Row],[Worker Type]]="Female of Reproductive Age",BW_F,BW_default)</f>
        <v>6.6275457369692772E-2</v>
      </c>
      <c r="N18" s="276">
        <f>IF(EFID&gt;Inhalation_Exp[[#This Row],[ED_High-End]],Inhalation_Exp[[#This Row],[24hr_High-End]]*Inhalation_Exp[[#This Row],[ED_High-End]]/ID,Inhalation_Exp[[#This Row],[24hr_High-End]]*EFID/ID)</f>
        <v>0.50627085490737533</v>
      </c>
      <c r="O18" s="304">
        <f>IF(EFID&gt;Inhalation_Exp[[#This Row],[ED_Central Tendency]],Inhalation_Exp[[#This Row],[24hr_Central Tendency]]*Inhalation_Exp[[#This Row],[ED_Central Tendency]]/ID,Inhalation_Exp[[#This Row],[24hr_Central Tendency]]*EFID/ID)</f>
        <v>4.8602002071108028E-2</v>
      </c>
      <c r="P18" s="276">
        <f t="shared" si="0"/>
        <v>0.4728557175349084</v>
      </c>
      <c r="Q18" s="304">
        <f t="shared" si="1"/>
        <v>4.5394148883351214E-2</v>
      </c>
      <c r="R18" s="250" t="s">
        <v>151</v>
      </c>
      <c r="S18" s="250" t="s">
        <v>151</v>
      </c>
      <c r="T18" s="12" t="s">
        <v>152</v>
      </c>
      <c r="U18" s="251" t="s">
        <v>153</v>
      </c>
    </row>
    <row r="19" spans="1:21" ht="30" x14ac:dyDescent="0.2">
      <c r="A19" s="225"/>
      <c r="B19" s="267">
        <v>3</v>
      </c>
      <c r="C19" s="277" t="s">
        <v>158</v>
      </c>
      <c r="D19" s="248" t="s">
        <v>69</v>
      </c>
      <c r="E19" s="11" t="s">
        <v>150</v>
      </c>
      <c r="F19" s="11">
        <v>250</v>
      </c>
      <c r="G19" s="11">
        <v>250</v>
      </c>
      <c r="H19" s="249">
        <v>0</v>
      </c>
      <c r="I19" s="249">
        <v>0</v>
      </c>
      <c r="J19" s="249">
        <v>0.48</v>
      </c>
      <c r="K19" s="249">
        <v>0.48</v>
      </c>
      <c r="L19" s="276">
        <f>((H19*ED_8+(J19*ED_8))*WorkBreathRate)/IF(Inhalation_Exp[[#This Row],[Worker Type]]="Female of Reproductive Age",BW_F,BW_default)</f>
        <v>0.06</v>
      </c>
      <c r="M19" s="276">
        <f>((I19*ED_8+(K19*ED_8))*WorkBreathRate)/IF(Inhalation_Exp[[#This Row],[Worker Type]]="Female of Reproductive Age",BW_F,BW_default)</f>
        <v>0.06</v>
      </c>
      <c r="N19" s="276">
        <f>IF(EFID&gt;Inhalation_Exp[[#This Row],[ED_High-End]],Inhalation_Exp[[#This Row],[24hr_High-End]]*Inhalation_Exp[[#This Row],[ED_High-End]]/ID,Inhalation_Exp[[#This Row],[24hr_High-End]]*EFID/ID)</f>
        <v>4.3999999999999997E-2</v>
      </c>
      <c r="O19" s="304">
        <f>IF(EFID&gt;Inhalation_Exp[[#This Row],[ED_Central Tendency]],Inhalation_Exp[[#This Row],[24hr_Central Tendency]]*Inhalation_Exp[[#This Row],[ED_Central Tendency]]/ID,Inhalation_Exp[[#This Row],[24hr_Central Tendency]]*EFID/ID)</f>
        <v>4.3999999999999997E-2</v>
      </c>
      <c r="P19" s="276">
        <f t="shared" si="0"/>
        <v>4.1095890410958902E-2</v>
      </c>
      <c r="Q19" s="304">
        <f t="shared" si="1"/>
        <v>4.1095890410958902E-2</v>
      </c>
      <c r="R19" s="250" t="s">
        <v>151</v>
      </c>
      <c r="S19" s="250" t="s">
        <v>151</v>
      </c>
      <c r="T19" s="12" t="s">
        <v>154</v>
      </c>
      <c r="U19" s="251" t="s">
        <v>153</v>
      </c>
    </row>
    <row r="20" spans="1:21" ht="15" x14ac:dyDescent="0.2">
      <c r="B20" s="267">
        <v>3</v>
      </c>
      <c r="C20" s="263" t="s">
        <v>159</v>
      </c>
      <c r="D20" s="248" t="s">
        <v>52</v>
      </c>
      <c r="E20" s="11" t="s">
        <v>150</v>
      </c>
      <c r="F20" s="11">
        <v>250</v>
      </c>
      <c r="G20" s="11">
        <v>223</v>
      </c>
      <c r="H20" s="249">
        <v>0</v>
      </c>
      <c r="I20" s="249">
        <v>0</v>
      </c>
      <c r="J20" s="249">
        <v>4.7</v>
      </c>
      <c r="K20" s="269">
        <v>0.23</v>
      </c>
      <c r="L20" s="276">
        <f>((H20*ED_8+(J20*ED_8))*WorkBreathRate)/IF(Inhalation_Exp[[#This Row],[Worker Type]]="Female of Reproductive Age",BW_F,BW_default)</f>
        <v>0.58750000000000002</v>
      </c>
      <c r="M20" s="304">
        <f>((I20*ED_8+(K20*ED_8))*WorkBreathRate)/IF(Inhalation_Exp[[#This Row],[Worker Type]]="Female of Reproductive Age",BW_F,BW_default)</f>
        <v>2.8750000000000005E-2</v>
      </c>
      <c r="N20" s="276">
        <f>IF(EFID&gt;Inhalation_Exp[[#This Row],[ED_High-End]],Inhalation_Exp[[#This Row],[24hr_High-End]]*Inhalation_Exp[[#This Row],[ED_High-End]]/ID,Inhalation_Exp[[#This Row],[24hr_High-End]]*EFID/ID)</f>
        <v>0.43083333333333335</v>
      </c>
      <c r="O20" s="304">
        <f>IF(EFID&gt;Inhalation_Exp[[#This Row],[ED_Central Tendency]],Inhalation_Exp[[#This Row],[24hr_Central Tendency]]*Inhalation_Exp[[#This Row],[ED_Central Tendency]]/ID,Inhalation_Exp[[#This Row],[24hr_Central Tendency]]*EFID/ID)</f>
        <v>2.1083333333333336E-2</v>
      </c>
      <c r="P20" s="276">
        <f t="shared" si="0"/>
        <v>0.4023972602739726</v>
      </c>
      <c r="Q20" s="304">
        <f t="shared" si="1"/>
        <v>1.7565068493150687E-2</v>
      </c>
      <c r="R20" s="250" t="s">
        <v>151</v>
      </c>
      <c r="S20" s="250" t="s">
        <v>151</v>
      </c>
      <c r="T20" s="12" t="s">
        <v>152</v>
      </c>
      <c r="U20" s="251" t="s">
        <v>153</v>
      </c>
    </row>
    <row r="21" spans="1:21" ht="15" x14ac:dyDescent="0.2">
      <c r="A21" s="225"/>
      <c r="B21" s="267">
        <v>3</v>
      </c>
      <c r="C21" s="263" t="s">
        <v>159</v>
      </c>
      <c r="D21" s="248" t="s">
        <v>96</v>
      </c>
      <c r="E21" s="11" t="s">
        <v>150</v>
      </c>
      <c r="F21" s="11">
        <v>250</v>
      </c>
      <c r="G21" s="11">
        <v>223</v>
      </c>
      <c r="H21" s="249">
        <v>0</v>
      </c>
      <c r="I21" s="249">
        <v>0</v>
      </c>
      <c r="J21" s="249">
        <v>4.7</v>
      </c>
      <c r="K21" s="249">
        <v>0.23</v>
      </c>
      <c r="L21" s="276">
        <f>((H21*ED_8+(J21*ED_8))*WorkBreathRate)/IF(Inhalation_Exp[[#This Row],[Worker Type]]="Female of Reproductive Age",BW_F,BW_default)</f>
        <v>0.64894718674490848</v>
      </c>
      <c r="M21" s="276">
        <f>((I21*ED_8+(K21*ED_8))*WorkBreathRate)/IF(Inhalation_Exp[[#This Row],[Worker Type]]="Female of Reproductive Age",BW_F,BW_default)</f>
        <v>3.1756989989644456E-2</v>
      </c>
      <c r="N21" s="276">
        <f>IF(EFID&gt;Inhalation_Exp[[#This Row],[ED_High-End]],Inhalation_Exp[[#This Row],[24hr_High-End]]*Inhalation_Exp[[#This Row],[ED_High-End]]/ID,Inhalation_Exp[[#This Row],[24hr_High-End]]*EFID/ID)</f>
        <v>0.4758946036129329</v>
      </c>
      <c r="O21" s="304">
        <f>IF(EFID&gt;Inhalation_Exp[[#This Row],[ED_Central Tendency]],Inhalation_Exp[[#This Row],[24hr_Central Tendency]]*Inhalation_Exp[[#This Row],[ED_Central Tendency]]/ID,Inhalation_Exp[[#This Row],[24hr_Central Tendency]]*EFID/ID)</f>
        <v>2.3288459325739266E-2</v>
      </c>
      <c r="P21" s="276">
        <f t="shared" si="0"/>
        <v>0.44448437448281397</v>
      </c>
      <c r="Q21" s="304">
        <f t="shared" si="1"/>
        <v>1.9402215801892365E-2</v>
      </c>
      <c r="R21" s="250" t="s">
        <v>151</v>
      </c>
      <c r="S21" s="250" t="s">
        <v>151</v>
      </c>
      <c r="T21" s="12" t="s">
        <v>152</v>
      </c>
      <c r="U21" s="251" t="s">
        <v>153</v>
      </c>
    </row>
    <row r="22" spans="1:21" ht="25.5" x14ac:dyDescent="0.2">
      <c r="A22" s="225"/>
      <c r="B22" s="267">
        <v>3</v>
      </c>
      <c r="C22" s="263" t="s">
        <v>159</v>
      </c>
      <c r="D22" s="248" t="s">
        <v>69</v>
      </c>
      <c r="E22" s="11" t="s">
        <v>150</v>
      </c>
      <c r="F22" s="11">
        <v>250</v>
      </c>
      <c r="G22" s="11">
        <v>223</v>
      </c>
      <c r="H22" s="249">
        <v>0</v>
      </c>
      <c r="I22" s="249">
        <v>0</v>
      </c>
      <c r="J22" s="249">
        <v>0.23</v>
      </c>
      <c r="K22" s="249">
        <v>0.23</v>
      </c>
      <c r="L22" s="276">
        <f>((H22*ED_8+(J22*ED_8))*WorkBreathRate)/IF(Inhalation_Exp[[#This Row],[Worker Type]]="Female of Reproductive Age",BW_F,BW_default)</f>
        <v>2.8750000000000005E-2</v>
      </c>
      <c r="M22" s="276">
        <f>((I22*ED_8+(K22*ED_8))*WorkBreathRate)/IF(Inhalation_Exp[[#This Row],[Worker Type]]="Female of Reproductive Age",BW_F,BW_default)</f>
        <v>2.8750000000000005E-2</v>
      </c>
      <c r="N22" s="276">
        <f>IF(EFID&gt;Inhalation_Exp[[#This Row],[ED_High-End]],Inhalation_Exp[[#This Row],[24hr_High-End]]*Inhalation_Exp[[#This Row],[ED_High-End]]/ID,Inhalation_Exp[[#This Row],[24hr_High-End]]*EFID/ID)</f>
        <v>2.1083333333333336E-2</v>
      </c>
      <c r="O22" s="304">
        <f>IF(EFID&gt;Inhalation_Exp[[#This Row],[ED_Central Tendency]],Inhalation_Exp[[#This Row],[24hr_Central Tendency]]*Inhalation_Exp[[#This Row],[ED_Central Tendency]]/ID,Inhalation_Exp[[#This Row],[24hr_Central Tendency]]*EFID/ID)</f>
        <v>2.1083333333333336E-2</v>
      </c>
      <c r="P22" s="276">
        <f t="shared" si="0"/>
        <v>1.9691780821917811E-2</v>
      </c>
      <c r="Q22" s="304">
        <f t="shared" si="1"/>
        <v>1.7565068493150687E-2</v>
      </c>
      <c r="R22" s="250" t="s">
        <v>151</v>
      </c>
      <c r="S22" s="250" t="s">
        <v>151</v>
      </c>
      <c r="T22" s="12" t="s">
        <v>154</v>
      </c>
      <c r="U22" s="251" t="s">
        <v>153</v>
      </c>
    </row>
    <row r="23" spans="1:21" ht="15" x14ac:dyDescent="0.2">
      <c r="A23" s="225"/>
      <c r="B23" s="267">
        <v>3</v>
      </c>
      <c r="C23" s="263" t="s">
        <v>160</v>
      </c>
      <c r="D23" s="248" t="s">
        <v>52</v>
      </c>
      <c r="E23" s="11" t="s">
        <v>150</v>
      </c>
      <c r="F23" s="11">
        <v>250</v>
      </c>
      <c r="G23" s="11">
        <v>219</v>
      </c>
      <c r="H23" s="249">
        <v>0</v>
      </c>
      <c r="I23" s="249">
        <v>0</v>
      </c>
      <c r="J23" s="249">
        <v>2.1150000000000002</v>
      </c>
      <c r="K23" s="269">
        <v>0.10349999999999999</v>
      </c>
      <c r="L23" s="276">
        <f>((H23*ED_8+(J23*ED_8))*WorkBreathRate)/IF(Inhalation_Exp[[#This Row],[Worker Type]]="Female of Reproductive Age",BW_F,BW_default)</f>
        <v>0.26437500000000003</v>
      </c>
      <c r="M23" s="304">
        <f>((I23*ED_8+(K23*ED_8))*WorkBreathRate)/IF(Inhalation_Exp[[#This Row],[Worker Type]]="Female of Reproductive Age",BW_F,BW_default)</f>
        <v>1.2937499999999999E-2</v>
      </c>
      <c r="N23" s="276">
        <f>IF(EFID&gt;Inhalation_Exp[[#This Row],[ED_High-End]],Inhalation_Exp[[#This Row],[24hr_High-End]]*Inhalation_Exp[[#This Row],[ED_High-End]]/ID,Inhalation_Exp[[#This Row],[24hr_High-End]]*EFID/ID)</f>
        <v>0.19387499999999999</v>
      </c>
      <c r="O23" s="304">
        <f>IF(EFID&gt;Inhalation_Exp[[#This Row],[ED_Central Tendency]],Inhalation_Exp[[#This Row],[24hr_Central Tendency]]*Inhalation_Exp[[#This Row],[ED_Central Tendency]]/ID,Inhalation_Exp[[#This Row],[24hr_Central Tendency]]*EFID/ID)</f>
        <v>9.4874999999999994E-3</v>
      </c>
      <c r="P23" s="276">
        <f t="shared" si="0"/>
        <v>0.18107876712328766</v>
      </c>
      <c r="Q23" s="304">
        <f t="shared" si="1"/>
        <v>7.7624999999999994E-3</v>
      </c>
      <c r="R23" s="250" t="s">
        <v>151</v>
      </c>
      <c r="S23" s="250" t="s">
        <v>151</v>
      </c>
      <c r="T23" s="12" t="s">
        <v>152</v>
      </c>
      <c r="U23" s="251" t="s">
        <v>153</v>
      </c>
    </row>
    <row r="24" spans="1:21" s="320" customFormat="1" ht="15" x14ac:dyDescent="0.2">
      <c r="A24" s="310"/>
      <c r="B24" s="311">
        <v>3</v>
      </c>
      <c r="C24" s="309" t="s">
        <v>160</v>
      </c>
      <c r="D24" s="312" t="s">
        <v>96</v>
      </c>
      <c r="E24" s="313" t="s">
        <v>150</v>
      </c>
      <c r="F24" s="313">
        <v>250</v>
      </c>
      <c r="G24" s="313">
        <v>219</v>
      </c>
      <c r="H24" s="314">
        <v>0</v>
      </c>
      <c r="I24" s="314">
        <v>0</v>
      </c>
      <c r="J24" s="314">
        <v>2.1150000000000002</v>
      </c>
      <c r="K24" s="314">
        <v>0.10349999999999999</v>
      </c>
      <c r="L24" s="315">
        <f>((H24*ED_8+(J24*ED_8))*WorkBreathRate)/IF(Inhalation_Exp[[#This Row],[Worker Type]]="Female of Reproductive Age",BW_F,BW_default)</f>
        <v>0.29202623403520883</v>
      </c>
      <c r="M24" s="315">
        <f>((I24*ED_8+(K24*ED_8))*WorkBreathRate)/IF(Inhalation_Exp[[#This Row],[Worker Type]]="Female of Reproductive Age",BW_F,BW_default)</f>
        <v>1.4290645495340003E-2</v>
      </c>
      <c r="N24" s="315">
        <f>IF(EFID&gt;Inhalation_Exp[[#This Row],[ED_High-End]],Inhalation_Exp[[#This Row],[24hr_High-End]]*Inhalation_Exp[[#This Row],[ED_High-End]]/ID,Inhalation_Exp[[#This Row],[24hr_High-End]]*EFID/ID)</f>
        <v>0.21415257162581983</v>
      </c>
      <c r="O24" s="316">
        <f>IF(EFID&gt;Inhalation_Exp[[#This Row],[ED_Central Tendency]],Inhalation_Exp[[#This Row],[24hr_Central Tendency]]*Inhalation_Exp[[#This Row],[ED_Central Tendency]]/ID,Inhalation_Exp[[#This Row],[24hr_Central Tendency]]*EFID/ID)</f>
        <v>1.0479806696582668E-2</v>
      </c>
      <c r="P24" s="315">
        <f t="shared" si="0"/>
        <v>0.20001796851726633</v>
      </c>
      <c r="Q24" s="316">
        <f t="shared" si="1"/>
        <v>8.574387297204002E-3</v>
      </c>
      <c r="R24" s="317" t="s">
        <v>151</v>
      </c>
      <c r="S24" s="317" t="s">
        <v>151</v>
      </c>
      <c r="T24" s="318" t="s">
        <v>152</v>
      </c>
      <c r="U24" s="319" t="s">
        <v>153</v>
      </c>
    </row>
    <row r="25" spans="1:21" s="320" customFormat="1" ht="25.5" x14ac:dyDescent="0.2">
      <c r="A25" s="310"/>
      <c r="B25" s="311">
        <v>3</v>
      </c>
      <c r="C25" s="309" t="s">
        <v>160</v>
      </c>
      <c r="D25" s="312" t="s">
        <v>69</v>
      </c>
      <c r="E25" s="313" t="s">
        <v>150</v>
      </c>
      <c r="F25" s="313">
        <v>250</v>
      </c>
      <c r="G25" s="313">
        <v>219</v>
      </c>
      <c r="H25" s="314">
        <v>0</v>
      </c>
      <c r="I25" s="314">
        <v>0</v>
      </c>
      <c r="J25" s="314">
        <v>0.10349999999999999</v>
      </c>
      <c r="K25" s="314">
        <v>0.10349999999999999</v>
      </c>
      <c r="L25" s="315">
        <f>((H25*ED_8+(J25*ED_8))*WorkBreathRate)/IF(Inhalation_Exp[[#This Row],[Worker Type]]="Female of Reproductive Age",BW_F,BW_default)</f>
        <v>1.2937499999999999E-2</v>
      </c>
      <c r="M25" s="315">
        <f>((I25*ED_8+(K25*ED_8))*WorkBreathRate)/IF(Inhalation_Exp[[#This Row],[Worker Type]]="Female of Reproductive Age",BW_F,BW_default)</f>
        <v>1.2937499999999999E-2</v>
      </c>
      <c r="N25" s="315">
        <f>IF(EFID&gt;Inhalation_Exp[[#This Row],[ED_High-End]],Inhalation_Exp[[#This Row],[24hr_High-End]]*Inhalation_Exp[[#This Row],[ED_High-End]]/ID,Inhalation_Exp[[#This Row],[24hr_High-End]]*EFID/ID)</f>
        <v>9.4874999999999994E-3</v>
      </c>
      <c r="O25" s="316">
        <f>IF(EFID&gt;Inhalation_Exp[[#This Row],[ED_Central Tendency]],Inhalation_Exp[[#This Row],[24hr_Central Tendency]]*Inhalation_Exp[[#This Row],[ED_Central Tendency]]/ID,Inhalation_Exp[[#This Row],[24hr_Central Tendency]]*EFID/ID)</f>
        <v>9.4874999999999994E-3</v>
      </c>
      <c r="P25" s="315">
        <f t="shared" si="0"/>
        <v>8.8613013698630137E-3</v>
      </c>
      <c r="Q25" s="316">
        <f t="shared" si="1"/>
        <v>7.7624999999999994E-3</v>
      </c>
      <c r="R25" s="317" t="s">
        <v>151</v>
      </c>
      <c r="S25" s="317" t="s">
        <v>151</v>
      </c>
      <c r="T25" s="318" t="s">
        <v>154</v>
      </c>
      <c r="U25" s="319" t="s">
        <v>153</v>
      </c>
    </row>
    <row r="26" spans="1:21" s="320" customFormat="1" ht="15" x14ac:dyDescent="0.2">
      <c r="A26" s="310"/>
      <c r="B26" s="311">
        <v>3</v>
      </c>
      <c r="C26" s="309" t="s">
        <v>161</v>
      </c>
      <c r="D26" s="312" t="s">
        <v>52</v>
      </c>
      <c r="E26" s="313" t="s">
        <v>150</v>
      </c>
      <c r="F26" s="313">
        <v>250</v>
      </c>
      <c r="G26" s="313">
        <v>234</v>
      </c>
      <c r="H26" s="314">
        <v>0</v>
      </c>
      <c r="I26" s="314">
        <v>0</v>
      </c>
      <c r="J26" s="314">
        <v>2.82</v>
      </c>
      <c r="K26" s="321">
        <v>0.13800000000000001</v>
      </c>
      <c r="L26" s="315">
        <f>((H26*ED_8+(J26*ED_8))*WorkBreathRate)/IF(Inhalation_Exp[[#This Row],[Worker Type]]="Female of Reproductive Age",BW_F,BW_default)</f>
        <v>0.35249999999999998</v>
      </c>
      <c r="M26" s="316">
        <f>((I26*ED_8+(K26*ED_8))*WorkBreathRate)/IF(Inhalation_Exp[[#This Row],[Worker Type]]="Female of Reproductive Age",BW_F,BW_default)</f>
        <v>1.7250000000000001E-2</v>
      </c>
      <c r="N26" s="315">
        <f>IF(EFID&gt;Inhalation_Exp[[#This Row],[ED_High-End]],Inhalation_Exp[[#This Row],[24hr_High-End]]*Inhalation_Exp[[#This Row],[ED_High-End]]/ID,Inhalation_Exp[[#This Row],[24hr_High-End]]*EFID/ID)</f>
        <v>0.25850000000000001</v>
      </c>
      <c r="O26" s="316">
        <f>IF(EFID&gt;Inhalation_Exp[[#This Row],[ED_Central Tendency]],Inhalation_Exp[[#This Row],[24hr_Central Tendency]]*Inhalation_Exp[[#This Row],[ED_Central Tendency]]/ID,Inhalation_Exp[[#This Row],[24hr_Central Tendency]]*EFID/ID)</f>
        <v>1.2650000000000002E-2</v>
      </c>
      <c r="P26" s="315">
        <f t="shared" si="0"/>
        <v>0.24143835616438356</v>
      </c>
      <c r="Q26" s="316">
        <f t="shared" si="1"/>
        <v>1.1058904109589041E-2</v>
      </c>
      <c r="R26" s="317" t="s">
        <v>151</v>
      </c>
      <c r="S26" s="317" t="s">
        <v>151</v>
      </c>
      <c r="T26" s="318" t="s">
        <v>152</v>
      </c>
      <c r="U26" s="319" t="s">
        <v>153</v>
      </c>
    </row>
    <row r="27" spans="1:21" s="320" customFormat="1" ht="15" x14ac:dyDescent="0.2">
      <c r="A27" s="310"/>
      <c r="B27" s="311">
        <v>3</v>
      </c>
      <c r="C27" s="309" t="s">
        <v>161</v>
      </c>
      <c r="D27" s="312" t="s">
        <v>96</v>
      </c>
      <c r="E27" s="313" t="s">
        <v>150</v>
      </c>
      <c r="F27" s="313">
        <v>250</v>
      </c>
      <c r="G27" s="313">
        <v>234</v>
      </c>
      <c r="H27" s="314">
        <v>0</v>
      </c>
      <c r="I27" s="314">
        <v>0</v>
      </c>
      <c r="J27" s="314">
        <v>2.82</v>
      </c>
      <c r="K27" s="314">
        <v>0.13800000000000001</v>
      </c>
      <c r="L27" s="315">
        <f>((H27*ED_8+(J27*ED_8))*WorkBreathRate)/IF(Inhalation_Exp[[#This Row],[Worker Type]]="Female of Reproductive Age",BW_F,BW_default)</f>
        <v>0.38936831204694505</v>
      </c>
      <c r="M27" s="315">
        <f>((I27*ED_8+(K27*ED_8))*WorkBreathRate)/IF(Inhalation_Exp[[#This Row],[Worker Type]]="Female of Reproductive Age",BW_F,BW_default)</f>
        <v>1.9054193993786675E-2</v>
      </c>
      <c r="N27" s="315">
        <f>IF(EFID&gt;Inhalation_Exp[[#This Row],[ED_High-End]],Inhalation_Exp[[#This Row],[24hr_High-End]]*Inhalation_Exp[[#This Row],[ED_High-End]]/ID,Inhalation_Exp[[#This Row],[24hr_High-End]]*EFID/ID)</f>
        <v>0.28553676216775969</v>
      </c>
      <c r="O27" s="316">
        <f>IF(EFID&gt;Inhalation_Exp[[#This Row],[ED_Central Tendency]],Inhalation_Exp[[#This Row],[24hr_Central Tendency]]*Inhalation_Exp[[#This Row],[ED_Central Tendency]]/ID,Inhalation_Exp[[#This Row],[24hr_Central Tendency]]*EFID/ID)</f>
        <v>1.3973075595443562E-2</v>
      </c>
      <c r="P27" s="315">
        <f t="shared" si="0"/>
        <v>0.2666906246896884</v>
      </c>
      <c r="Q27" s="316">
        <f t="shared" si="1"/>
        <v>1.2215565464509814E-2</v>
      </c>
      <c r="R27" s="317" t="s">
        <v>151</v>
      </c>
      <c r="S27" s="317" t="s">
        <v>151</v>
      </c>
      <c r="T27" s="318" t="s">
        <v>152</v>
      </c>
      <c r="U27" s="319" t="s">
        <v>153</v>
      </c>
    </row>
    <row r="28" spans="1:21" s="320" customFormat="1" ht="25.5" x14ac:dyDescent="0.2">
      <c r="A28" s="310"/>
      <c r="B28" s="311">
        <v>3</v>
      </c>
      <c r="C28" s="309" t="s">
        <v>161</v>
      </c>
      <c r="D28" s="312" t="s">
        <v>69</v>
      </c>
      <c r="E28" s="313" t="s">
        <v>150</v>
      </c>
      <c r="F28" s="313">
        <v>250</v>
      </c>
      <c r="G28" s="313">
        <v>234</v>
      </c>
      <c r="H28" s="314">
        <v>0</v>
      </c>
      <c r="I28" s="314">
        <v>0</v>
      </c>
      <c r="J28" s="314">
        <v>0.13800000000000001</v>
      </c>
      <c r="K28" s="314">
        <v>0.13800000000000001</v>
      </c>
      <c r="L28" s="315">
        <f>((H28*ED_8+(J28*ED_8))*WorkBreathRate)/IF(Inhalation_Exp[[#This Row],[Worker Type]]="Female of Reproductive Age",BW_F,BW_default)</f>
        <v>1.7250000000000001E-2</v>
      </c>
      <c r="M28" s="315">
        <f>((I28*ED_8+(K28*ED_8))*WorkBreathRate)/IF(Inhalation_Exp[[#This Row],[Worker Type]]="Female of Reproductive Age",BW_F,BW_default)</f>
        <v>1.7250000000000001E-2</v>
      </c>
      <c r="N28" s="315">
        <f>IF(EFID&gt;Inhalation_Exp[[#This Row],[ED_High-End]],Inhalation_Exp[[#This Row],[24hr_High-End]]*Inhalation_Exp[[#This Row],[ED_High-End]]/ID,Inhalation_Exp[[#This Row],[24hr_High-End]]*EFID/ID)</f>
        <v>1.2650000000000002E-2</v>
      </c>
      <c r="O28" s="316">
        <f>IF(EFID&gt;Inhalation_Exp[[#This Row],[ED_Central Tendency]],Inhalation_Exp[[#This Row],[24hr_Central Tendency]]*Inhalation_Exp[[#This Row],[ED_Central Tendency]]/ID,Inhalation_Exp[[#This Row],[24hr_Central Tendency]]*EFID/ID)</f>
        <v>1.2650000000000002E-2</v>
      </c>
      <c r="P28" s="315">
        <f t="shared" si="0"/>
        <v>1.1815068493150685E-2</v>
      </c>
      <c r="Q28" s="316">
        <f t="shared" si="1"/>
        <v>1.1058904109589041E-2</v>
      </c>
      <c r="R28" s="317" t="s">
        <v>151</v>
      </c>
      <c r="S28" s="317" t="s">
        <v>151</v>
      </c>
      <c r="T28" s="318" t="s">
        <v>154</v>
      </c>
      <c r="U28" s="319" t="s">
        <v>153</v>
      </c>
    </row>
    <row r="29" spans="1:21" s="320" customFormat="1" ht="15" x14ac:dyDescent="0.2">
      <c r="A29" s="310"/>
      <c r="B29" s="311">
        <v>3</v>
      </c>
      <c r="C29" s="309" t="s">
        <v>162</v>
      </c>
      <c r="D29" s="312" t="s">
        <v>52</v>
      </c>
      <c r="E29" s="313" t="s">
        <v>150</v>
      </c>
      <c r="F29" s="313">
        <v>250</v>
      </c>
      <c r="G29" s="313">
        <v>219</v>
      </c>
      <c r="H29" s="314">
        <v>0</v>
      </c>
      <c r="I29" s="314">
        <v>0</v>
      </c>
      <c r="J29" s="314">
        <v>0.94</v>
      </c>
      <c r="K29" s="321">
        <v>4.5999999999999999E-2</v>
      </c>
      <c r="L29" s="315">
        <f>((H29*ED_8+(J29*ED_8))*WorkBreathRate)/IF(Inhalation_Exp[[#This Row],[Worker Type]]="Female of Reproductive Age",BW_F,BW_default)</f>
        <v>0.11749999999999998</v>
      </c>
      <c r="M29" s="316">
        <f>((I29*ED_8+(K29*ED_8))*WorkBreathRate)/IF(Inhalation_Exp[[#This Row],[Worker Type]]="Female of Reproductive Age",BW_F,BW_default)</f>
        <v>5.7499999999999999E-3</v>
      </c>
      <c r="N29" s="315">
        <f>IF(EFID&gt;Inhalation_Exp[[#This Row],[ED_High-End]],Inhalation_Exp[[#This Row],[24hr_High-End]]*Inhalation_Exp[[#This Row],[ED_High-End]]/ID,Inhalation_Exp[[#This Row],[24hr_High-End]]*EFID/ID)</f>
        <v>8.6166666666666655E-2</v>
      </c>
      <c r="O29" s="316">
        <f>IF(EFID&gt;Inhalation_Exp[[#This Row],[ED_Central Tendency]],Inhalation_Exp[[#This Row],[24hr_Central Tendency]]*Inhalation_Exp[[#This Row],[ED_Central Tendency]]/ID,Inhalation_Exp[[#This Row],[24hr_Central Tendency]]*EFID/ID)</f>
        <v>4.2166666666666663E-3</v>
      </c>
      <c r="P29" s="315">
        <f t="shared" si="0"/>
        <v>8.0479452054794509E-2</v>
      </c>
      <c r="Q29" s="316">
        <f t="shared" si="1"/>
        <v>3.4499999999999999E-3</v>
      </c>
      <c r="R29" s="317" t="s">
        <v>151</v>
      </c>
      <c r="S29" s="317" t="s">
        <v>151</v>
      </c>
      <c r="T29" s="318" t="s">
        <v>152</v>
      </c>
      <c r="U29" s="319" t="s">
        <v>153</v>
      </c>
    </row>
    <row r="30" spans="1:21" s="320" customFormat="1" ht="15" x14ac:dyDescent="0.2">
      <c r="A30" s="310"/>
      <c r="B30" s="311">
        <v>3</v>
      </c>
      <c r="C30" s="309" t="s">
        <v>162</v>
      </c>
      <c r="D30" s="312" t="s">
        <v>96</v>
      </c>
      <c r="E30" s="313" t="s">
        <v>150</v>
      </c>
      <c r="F30" s="313">
        <v>250</v>
      </c>
      <c r="G30" s="313">
        <v>219</v>
      </c>
      <c r="H30" s="314">
        <v>0</v>
      </c>
      <c r="I30" s="314">
        <v>0</v>
      </c>
      <c r="J30" s="314">
        <v>0.94</v>
      </c>
      <c r="K30" s="314">
        <v>4.5999999999999999E-2</v>
      </c>
      <c r="L30" s="315">
        <f>((H30*ED_8+(J30*ED_8))*WorkBreathRate)/IF(Inhalation_Exp[[#This Row],[Worker Type]]="Female of Reproductive Age",BW_F,BW_default)</f>
        <v>0.12978943734898166</v>
      </c>
      <c r="M30" s="315">
        <f>((I30*ED_8+(K30*ED_8))*WorkBreathRate)/IF(Inhalation_Exp[[#This Row],[Worker Type]]="Female of Reproductive Age",BW_F,BW_default)</f>
        <v>6.3513979979288905E-3</v>
      </c>
      <c r="N30" s="315">
        <f>IF(EFID&gt;Inhalation_Exp[[#This Row],[ED_High-End]],Inhalation_Exp[[#This Row],[24hr_High-End]]*Inhalation_Exp[[#This Row],[ED_High-End]]/ID,Inhalation_Exp[[#This Row],[24hr_High-End]]*EFID/ID)</f>
        <v>9.5178920722586546E-2</v>
      </c>
      <c r="O30" s="316">
        <f>IF(EFID&gt;Inhalation_Exp[[#This Row],[ED_Central Tendency]],Inhalation_Exp[[#This Row],[24hr_Central Tendency]]*Inhalation_Exp[[#This Row],[ED_Central Tendency]]/ID,Inhalation_Exp[[#This Row],[24hr_Central Tendency]]*EFID/ID)</f>
        <v>4.6576918651478529E-3</v>
      </c>
      <c r="P30" s="315">
        <f t="shared" si="0"/>
        <v>8.8896874896562783E-2</v>
      </c>
      <c r="Q30" s="316">
        <f t="shared" si="1"/>
        <v>3.8108387987573341E-3</v>
      </c>
      <c r="R30" s="317" t="s">
        <v>151</v>
      </c>
      <c r="S30" s="317" t="s">
        <v>151</v>
      </c>
      <c r="T30" s="318" t="s">
        <v>152</v>
      </c>
      <c r="U30" s="319" t="s">
        <v>153</v>
      </c>
    </row>
    <row r="31" spans="1:21" s="320" customFormat="1" ht="25.5" x14ac:dyDescent="0.2">
      <c r="A31" s="310"/>
      <c r="B31" s="311">
        <v>3</v>
      </c>
      <c r="C31" s="309" t="s">
        <v>162</v>
      </c>
      <c r="D31" s="312" t="s">
        <v>69</v>
      </c>
      <c r="E31" s="313" t="s">
        <v>150</v>
      </c>
      <c r="F31" s="313">
        <v>250</v>
      </c>
      <c r="G31" s="313">
        <v>219</v>
      </c>
      <c r="H31" s="314">
        <v>0</v>
      </c>
      <c r="I31" s="314">
        <v>0</v>
      </c>
      <c r="J31" s="314">
        <v>4.5999999999999999E-2</v>
      </c>
      <c r="K31" s="314">
        <v>4.5999999999999999E-2</v>
      </c>
      <c r="L31" s="315">
        <f>((H31*ED_8+(J31*ED_8))*WorkBreathRate)/IF(Inhalation_Exp[[#This Row],[Worker Type]]="Female of Reproductive Age",BW_F,BW_default)</f>
        <v>5.7499999999999999E-3</v>
      </c>
      <c r="M31" s="315">
        <f>((I31*ED_8+(K31*ED_8))*WorkBreathRate)/IF(Inhalation_Exp[[#This Row],[Worker Type]]="Female of Reproductive Age",BW_F,BW_default)</f>
        <v>5.7499999999999999E-3</v>
      </c>
      <c r="N31" s="315">
        <f>IF(EFID&gt;Inhalation_Exp[[#This Row],[ED_High-End]],Inhalation_Exp[[#This Row],[24hr_High-End]]*Inhalation_Exp[[#This Row],[ED_High-End]]/ID,Inhalation_Exp[[#This Row],[24hr_High-End]]*EFID/ID)</f>
        <v>4.2166666666666663E-3</v>
      </c>
      <c r="O31" s="316">
        <f>IF(EFID&gt;Inhalation_Exp[[#This Row],[ED_Central Tendency]],Inhalation_Exp[[#This Row],[24hr_Central Tendency]]*Inhalation_Exp[[#This Row],[ED_Central Tendency]]/ID,Inhalation_Exp[[#This Row],[24hr_Central Tendency]]*EFID/ID)</f>
        <v>4.2166666666666663E-3</v>
      </c>
      <c r="P31" s="315">
        <f t="shared" si="0"/>
        <v>3.9383561643835619E-3</v>
      </c>
      <c r="Q31" s="316">
        <f t="shared" si="1"/>
        <v>3.4499999999999999E-3</v>
      </c>
      <c r="R31" s="317" t="s">
        <v>151</v>
      </c>
      <c r="S31" s="317" t="s">
        <v>151</v>
      </c>
      <c r="T31" s="318" t="s">
        <v>154</v>
      </c>
      <c r="U31" s="319" t="s">
        <v>153</v>
      </c>
    </row>
    <row r="32" spans="1:21" s="320" customFormat="1" ht="15" x14ac:dyDescent="0.2">
      <c r="A32" s="310"/>
      <c r="B32" s="311">
        <v>4</v>
      </c>
      <c r="C32" s="309" t="s">
        <v>163</v>
      </c>
      <c r="D32" s="312" t="s">
        <v>52</v>
      </c>
      <c r="E32" s="313" t="s">
        <v>150</v>
      </c>
      <c r="F32" s="313">
        <v>250</v>
      </c>
      <c r="G32" s="313">
        <v>250</v>
      </c>
      <c r="H32" s="314">
        <v>8.84</v>
      </c>
      <c r="I32" s="314">
        <v>0.42199999999999999</v>
      </c>
      <c r="J32" s="314">
        <v>0</v>
      </c>
      <c r="K32" s="321">
        <v>0</v>
      </c>
      <c r="L32" s="315">
        <f>((H32*ED_8+(J32*ED_8))*WorkBreathRate)/IF(Inhalation_Exp[[#This Row],[Worker Type]]="Female of Reproductive Age",BW_F,BW_default)</f>
        <v>1.105</v>
      </c>
      <c r="M32" s="316">
        <f>((I32*ED_8+(K32*ED_8))*WorkBreathRate)/IF(Inhalation_Exp[[#This Row],[Worker Type]]="Female of Reproductive Age",BW_F,BW_default)</f>
        <v>5.2749999999999998E-2</v>
      </c>
      <c r="N32" s="315">
        <f>IF(EFID&gt;Inhalation_Exp[[#This Row],[ED_High-End]],Inhalation_Exp[[#This Row],[24hr_High-End]]*Inhalation_Exp[[#This Row],[ED_High-End]]/ID,Inhalation_Exp[[#This Row],[24hr_High-End]]*EFID/ID)</f>
        <v>0.81033333333333324</v>
      </c>
      <c r="O32" s="316">
        <f>IF(EFID&gt;Inhalation_Exp[[#This Row],[ED_Central Tendency]],Inhalation_Exp[[#This Row],[24hr_Central Tendency]]*Inhalation_Exp[[#This Row],[ED_Central Tendency]]/ID,Inhalation_Exp[[#This Row],[24hr_Central Tendency]]*EFID/ID)</f>
        <v>3.8683333333333327E-2</v>
      </c>
      <c r="P32" s="315">
        <f t="shared" si="0"/>
        <v>0.75684931506849318</v>
      </c>
      <c r="Q32" s="316">
        <f t="shared" si="1"/>
        <v>3.6130136986301367E-2</v>
      </c>
      <c r="R32" s="317" t="s">
        <v>151</v>
      </c>
      <c r="S32" s="317" t="s">
        <v>151</v>
      </c>
      <c r="T32" s="318" t="s">
        <v>164</v>
      </c>
      <c r="U32" s="319" t="s">
        <v>153</v>
      </c>
    </row>
    <row r="33" spans="1:21" s="320" customFormat="1" ht="15" x14ac:dyDescent="0.2">
      <c r="A33" s="310"/>
      <c r="B33" s="311">
        <v>4</v>
      </c>
      <c r="C33" s="309" t="s">
        <v>163</v>
      </c>
      <c r="D33" s="312" t="s">
        <v>96</v>
      </c>
      <c r="E33" s="313" t="s">
        <v>150</v>
      </c>
      <c r="F33" s="313">
        <v>250</v>
      </c>
      <c r="G33" s="313">
        <v>250</v>
      </c>
      <c r="H33" s="314">
        <v>8.84</v>
      </c>
      <c r="I33" s="314">
        <v>0.42199999999999999</v>
      </c>
      <c r="J33" s="314">
        <v>0</v>
      </c>
      <c r="K33" s="314">
        <v>0</v>
      </c>
      <c r="L33" s="315">
        <f>((H33*ED_8+(J33*ED_8))*WorkBreathRate)/IF(Inhalation_Exp[[#This Row],[Worker Type]]="Female of Reproductive Age",BW_F,BW_default)</f>
        <v>1.2205730065585088</v>
      </c>
      <c r="M33" s="315">
        <f>((I33*ED_8+(K33*ED_8))*WorkBreathRate)/IF(Inhalation_Exp[[#This Row],[Worker Type]]="Female of Reproductive Age",BW_F,BW_default)</f>
        <v>5.8267172937521559E-2</v>
      </c>
      <c r="N33" s="315">
        <f>IF(EFID&gt;Inhalation_Exp[[#This Row],[ED_High-End]],Inhalation_Exp[[#This Row],[24hr_High-End]]*Inhalation_Exp[[#This Row],[ED_High-End]]/ID,Inhalation_Exp[[#This Row],[24hr_High-End]]*EFID/ID)</f>
        <v>0.89508687147623978</v>
      </c>
      <c r="O33" s="316">
        <f>IF(EFID&gt;Inhalation_Exp[[#This Row],[ED_Central Tendency]],Inhalation_Exp[[#This Row],[24hr_Central Tendency]]*Inhalation_Exp[[#This Row],[ED_Central Tendency]]/ID,Inhalation_Exp[[#This Row],[24hr_Central Tendency]]*EFID/ID)</f>
        <v>4.2729260154182477E-2</v>
      </c>
      <c r="P33" s="315">
        <f t="shared" si="0"/>
        <v>0.83600890860171828</v>
      </c>
      <c r="Q33" s="316">
        <f t="shared" si="1"/>
        <v>3.9909022559946272E-2</v>
      </c>
      <c r="R33" s="317" t="s">
        <v>151</v>
      </c>
      <c r="S33" s="317" t="s">
        <v>151</v>
      </c>
      <c r="T33" s="318" t="s">
        <v>164</v>
      </c>
      <c r="U33" s="319" t="s">
        <v>153</v>
      </c>
    </row>
    <row r="34" spans="1:21" s="320" customFormat="1" ht="25.5" x14ac:dyDescent="0.2">
      <c r="A34" s="310"/>
      <c r="B34" s="311">
        <v>4</v>
      </c>
      <c r="C34" s="309" t="s">
        <v>163</v>
      </c>
      <c r="D34" s="312" t="s">
        <v>69</v>
      </c>
      <c r="E34" s="313" t="s">
        <v>150</v>
      </c>
      <c r="F34" s="313">
        <v>250</v>
      </c>
      <c r="G34" s="313">
        <v>250</v>
      </c>
      <c r="H34" s="314">
        <v>0.42199999999999999</v>
      </c>
      <c r="I34" s="314">
        <v>0.42199999999999999</v>
      </c>
      <c r="J34" s="314">
        <v>0</v>
      </c>
      <c r="K34" s="314">
        <v>0</v>
      </c>
      <c r="L34" s="315">
        <f>((H34*ED_8+(J34*ED_8))*WorkBreathRate)/IF(Inhalation_Exp[[#This Row],[Worker Type]]="Female of Reproductive Age",BW_F,BW_default)</f>
        <v>5.2749999999999998E-2</v>
      </c>
      <c r="M34" s="315">
        <f>((I34*ED_8+(K34*ED_8))*WorkBreathRate)/IF(Inhalation_Exp[[#This Row],[Worker Type]]="Female of Reproductive Age",BW_F,BW_default)</f>
        <v>5.2749999999999998E-2</v>
      </c>
      <c r="N34" s="315">
        <f>IF(EFID&gt;Inhalation_Exp[[#This Row],[ED_High-End]],Inhalation_Exp[[#This Row],[24hr_High-End]]*Inhalation_Exp[[#This Row],[ED_High-End]]/ID,Inhalation_Exp[[#This Row],[24hr_High-End]]*EFID/ID)</f>
        <v>3.8683333333333327E-2</v>
      </c>
      <c r="O34" s="316">
        <f>IF(EFID&gt;Inhalation_Exp[[#This Row],[ED_Central Tendency]],Inhalation_Exp[[#This Row],[24hr_Central Tendency]]*Inhalation_Exp[[#This Row],[ED_Central Tendency]]/ID,Inhalation_Exp[[#This Row],[24hr_Central Tendency]]*EFID/ID)</f>
        <v>3.8683333333333327E-2</v>
      </c>
      <c r="P34" s="315">
        <f t="shared" si="0"/>
        <v>3.6130136986301367E-2</v>
      </c>
      <c r="Q34" s="316">
        <f t="shared" si="1"/>
        <v>3.6130136986301367E-2</v>
      </c>
      <c r="R34" s="317" t="s">
        <v>151</v>
      </c>
      <c r="S34" s="317" t="s">
        <v>151</v>
      </c>
      <c r="T34" s="318" t="s">
        <v>154</v>
      </c>
      <c r="U34" s="319" t="s">
        <v>153</v>
      </c>
    </row>
    <row r="35" spans="1:21" s="320" customFormat="1" ht="15" x14ac:dyDescent="0.2">
      <c r="A35" s="310"/>
      <c r="B35" s="311">
        <v>4</v>
      </c>
      <c r="C35" s="309" t="s">
        <v>165</v>
      </c>
      <c r="D35" s="312" t="s">
        <v>52</v>
      </c>
      <c r="E35" s="313" t="s">
        <v>150</v>
      </c>
      <c r="F35" s="313">
        <v>250</v>
      </c>
      <c r="G35" s="313">
        <v>250</v>
      </c>
      <c r="H35" s="314">
        <v>0</v>
      </c>
      <c r="I35" s="314">
        <v>0</v>
      </c>
      <c r="J35" s="314">
        <v>4.9000000000000004</v>
      </c>
      <c r="K35" s="321">
        <v>0.28000000000000003</v>
      </c>
      <c r="L35" s="315">
        <f>((H35*ED_8+(J35*ED_8))*WorkBreathRate)/IF(Inhalation_Exp[[#This Row],[Worker Type]]="Female of Reproductive Age",BW_F,BW_default)</f>
        <v>0.61250000000000004</v>
      </c>
      <c r="M35" s="316">
        <f>((I35*ED_8+(K35*ED_8))*WorkBreathRate)/IF(Inhalation_Exp[[#This Row],[Worker Type]]="Female of Reproductive Age",BW_F,BW_default)</f>
        <v>3.5000000000000003E-2</v>
      </c>
      <c r="N35" s="315">
        <f>IF(EFID&gt;Inhalation_Exp[[#This Row],[ED_High-End]],Inhalation_Exp[[#This Row],[24hr_High-End]]*Inhalation_Exp[[#This Row],[ED_High-End]]/ID,Inhalation_Exp[[#This Row],[24hr_High-End]]*EFID/ID)</f>
        <v>0.44916666666666671</v>
      </c>
      <c r="O35" s="316">
        <f>IF(EFID&gt;Inhalation_Exp[[#This Row],[ED_Central Tendency]],Inhalation_Exp[[#This Row],[24hr_Central Tendency]]*Inhalation_Exp[[#This Row],[ED_Central Tendency]]/ID,Inhalation_Exp[[#This Row],[24hr_Central Tendency]]*EFID/ID)</f>
        <v>2.5666666666666667E-2</v>
      </c>
      <c r="P35" s="315">
        <f t="shared" si="0"/>
        <v>0.41952054794520549</v>
      </c>
      <c r="Q35" s="316">
        <f t="shared" si="1"/>
        <v>2.3972602739726026E-2</v>
      </c>
      <c r="R35" s="317" t="s">
        <v>151</v>
      </c>
      <c r="S35" s="317" t="s">
        <v>151</v>
      </c>
      <c r="T35" s="318" t="s">
        <v>152</v>
      </c>
      <c r="U35" s="319" t="s">
        <v>153</v>
      </c>
    </row>
    <row r="36" spans="1:21" s="320" customFormat="1" ht="15" x14ac:dyDescent="0.2">
      <c r="A36" s="310"/>
      <c r="B36" s="311">
        <v>4</v>
      </c>
      <c r="C36" s="309" t="s">
        <v>165</v>
      </c>
      <c r="D36" s="312" t="s">
        <v>96</v>
      </c>
      <c r="E36" s="313" t="s">
        <v>150</v>
      </c>
      <c r="F36" s="313">
        <v>250</v>
      </c>
      <c r="G36" s="313">
        <v>250</v>
      </c>
      <c r="H36" s="314">
        <v>0</v>
      </c>
      <c r="I36" s="314">
        <v>0</v>
      </c>
      <c r="J36" s="314">
        <v>4.9000000000000004</v>
      </c>
      <c r="K36" s="314">
        <v>0.28000000000000003</v>
      </c>
      <c r="L36" s="315">
        <f>((H36*ED_8+(J36*ED_8))*WorkBreathRate)/IF(Inhalation_Exp[[#This Row],[Worker Type]]="Female of Reproductive Age",BW_F,BW_default)</f>
        <v>0.67656196064894703</v>
      </c>
      <c r="M36" s="315">
        <f>((I36*ED_8+(K36*ED_8))*WorkBreathRate)/IF(Inhalation_Exp[[#This Row],[Worker Type]]="Female of Reproductive Age",BW_F,BW_default)</f>
        <v>3.8660683465654121E-2</v>
      </c>
      <c r="N36" s="315">
        <f>IF(EFID&gt;Inhalation_Exp[[#This Row],[ED_High-End]],Inhalation_Exp[[#This Row],[24hr_High-End]]*Inhalation_Exp[[#This Row],[ED_High-End]]/ID,Inhalation_Exp[[#This Row],[24hr_High-End]]*EFID/ID)</f>
        <v>0.49614543780922787</v>
      </c>
      <c r="O36" s="316">
        <f>IF(EFID&gt;Inhalation_Exp[[#This Row],[ED_Central Tendency]],Inhalation_Exp[[#This Row],[24hr_Central Tendency]]*Inhalation_Exp[[#This Row],[ED_Central Tendency]]/ID,Inhalation_Exp[[#This Row],[24hr_Central Tendency]]*EFID/ID)</f>
        <v>2.8351167874813021E-2</v>
      </c>
      <c r="P36" s="315">
        <f t="shared" si="0"/>
        <v>0.46339860318421028</v>
      </c>
      <c r="Q36" s="316">
        <f t="shared" si="1"/>
        <v>2.6479920181954879E-2</v>
      </c>
      <c r="R36" s="317" t="s">
        <v>151</v>
      </c>
      <c r="S36" s="317" t="s">
        <v>151</v>
      </c>
      <c r="T36" s="318" t="s">
        <v>152</v>
      </c>
      <c r="U36" s="319" t="s">
        <v>153</v>
      </c>
    </row>
    <row r="37" spans="1:21" s="320" customFormat="1" ht="25.5" x14ac:dyDescent="0.2">
      <c r="A37" s="310"/>
      <c r="B37" s="311">
        <v>4</v>
      </c>
      <c r="C37" s="309" t="s">
        <v>165</v>
      </c>
      <c r="D37" s="312" t="s">
        <v>69</v>
      </c>
      <c r="E37" s="313" t="s">
        <v>150</v>
      </c>
      <c r="F37" s="313">
        <v>250</v>
      </c>
      <c r="G37" s="313">
        <v>250</v>
      </c>
      <c r="H37" s="314">
        <v>0</v>
      </c>
      <c r="I37" s="314">
        <v>0</v>
      </c>
      <c r="J37" s="314">
        <v>0.28000000000000003</v>
      </c>
      <c r="K37" s="314">
        <v>0.28000000000000003</v>
      </c>
      <c r="L37" s="315">
        <f>((H37*ED_8+(J37*ED_8))*WorkBreathRate)/IF(Inhalation_Exp[[#This Row],[Worker Type]]="Female of Reproductive Age",BW_F,BW_default)</f>
        <v>3.5000000000000003E-2</v>
      </c>
      <c r="M37" s="315">
        <f>((I37*ED_8+(K37*ED_8))*WorkBreathRate)/IF(Inhalation_Exp[[#This Row],[Worker Type]]="Female of Reproductive Age",BW_F,BW_default)</f>
        <v>3.5000000000000003E-2</v>
      </c>
      <c r="N37" s="315">
        <f>IF(EFID&gt;Inhalation_Exp[[#This Row],[ED_High-End]],Inhalation_Exp[[#This Row],[24hr_High-End]]*Inhalation_Exp[[#This Row],[ED_High-End]]/ID,Inhalation_Exp[[#This Row],[24hr_High-End]]*EFID/ID)</f>
        <v>2.5666666666666667E-2</v>
      </c>
      <c r="O37" s="316">
        <f>IF(EFID&gt;Inhalation_Exp[[#This Row],[ED_Central Tendency]],Inhalation_Exp[[#This Row],[24hr_Central Tendency]]*Inhalation_Exp[[#This Row],[ED_Central Tendency]]/ID,Inhalation_Exp[[#This Row],[24hr_Central Tendency]]*EFID/ID)</f>
        <v>2.5666666666666667E-2</v>
      </c>
      <c r="P37" s="315">
        <f t="shared" ref="P37:P58" si="2">L37*F37*WY_high/(WY_high*365)</f>
        <v>2.3972602739726026E-2</v>
      </c>
      <c r="Q37" s="316">
        <f t="shared" ref="Q37:Q58" si="3">M37*G37*WY_mid/(WY_mid*365)</f>
        <v>2.3972602739726026E-2</v>
      </c>
      <c r="R37" s="317" t="s">
        <v>151</v>
      </c>
      <c r="S37" s="317" t="s">
        <v>151</v>
      </c>
      <c r="T37" s="318" t="s">
        <v>154</v>
      </c>
      <c r="U37" s="319" t="s">
        <v>153</v>
      </c>
    </row>
    <row r="38" spans="1:21" s="320" customFormat="1" ht="30" x14ac:dyDescent="0.2">
      <c r="A38" s="310"/>
      <c r="B38" s="311">
        <v>4</v>
      </c>
      <c r="C38" s="309" t="s">
        <v>166</v>
      </c>
      <c r="D38" s="312" t="s">
        <v>52</v>
      </c>
      <c r="E38" s="313" t="s">
        <v>150</v>
      </c>
      <c r="F38" s="313">
        <v>250</v>
      </c>
      <c r="G38" s="313">
        <v>232</v>
      </c>
      <c r="H38" s="314">
        <v>0</v>
      </c>
      <c r="I38" s="314">
        <v>0</v>
      </c>
      <c r="J38" s="314">
        <v>0</v>
      </c>
      <c r="K38" s="321">
        <v>0</v>
      </c>
      <c r="L38" s="315">
        <f>((H38*ED_8+(J38*ED_8))*WorkBreathRate)/IF(Inhalation_Exp[[#This Row],[Worker Type]]="Female of Reproductive Age",BW_F,BW_default)</f>
        <v>0</v>
      </c>
      <c r="M38" s="316">
        <f>((I38*ED_8+(K38*ED_8))*WorkBreathRate)/IF(Inhalation_Exp[[#This Row],[Worker Type]]="Female of Reproductive Age",BW_F,BW_default)</f>
        <v>0</v>
      </c>
      <c r="N38" s="315">
        <f>IF(EFID&gt;Inhalation_Exp[[#This Row],[ED_High-End]],Inhalation_Exp[[#This Row],[24hr_High-End]]*Inhalation_Exp[[#This Row],[ED_High-End]]/ID,Inhalation_Exp[[#This Row],[24hr_High-End]]*EFID/ID)</f>
        <v>0</v>
      </c>
      <c r="O38" s="316">
        <f>IF(EFID&gt;Inhalation_Exp[[#This Row],[ED_Central Tendency]],Inhalation_Exp[[#This Row],[24hr_Central Tendency]]*Inhalation_Exp[[#This Row],[ED_Central Tendency]]/ID,Inhalation_Exp[[#This Row],[24hr_Central Tendency]]*EFID/ID)</f>
        <v>0</v>
      </c>
      <c r="P38" s="315">
        <f t="shared" si="2"/>
        <v>0</v>
      </c>
      <c r="Q38" s="316">
        <f t="shared" si="3"/>
        <v>0</v>
      </c>
      <c r="R38" s="317" t="s">
        <v>151</v>
      </c>
      <c r="S38" s="317" t="s">
        <v>151</v>
      </c>
      <c r="T38" s="318" t="s">
        <v>152</v>
      </c>
      <c r="U38" s="319" t="s">
        <v>153</v>
      </c>
    </row>
    <row r="39" spans="1:21" s="320" customFormat="1" ht="30" x14ac:dyDescent="0.2">
      <c r="A39" s="310"/>
      <c r="B39" s="311">
        <v>4</v>
      </c>
      <c r="C39" s="309" t="s">
        <v>166</v>
      </c>
      <c r="D39" s="312" t="s">
        <v>96</v>
      </c>
      <c r="E39" s="313" t="s">
        <v>150</v>
      </c>
      <c r="F39" s="313">
        <v>250</v>
      </c>
      <c r="G39" s="313">
        <v>232</v>
      </c>
      <c r="H39" s="314">
        <v>0</v>
      </c>
      <c r="I39" s="314">
        <v>0</v>
      </c>
      <c r="J39" s="314">
        <v>0</v>
      </c>
      <c r="K39" s="314">
        <v>0</v>
      </c>
      <c r="L39" s="315">
        <f>((H39*ED_8+(J39*ED_8))*WorkBreathRate)/IF(Inhalation_Exp[[#This Row],[Worker Type]]="Female of Reproductive Age",BW_F,BW_default)</f>
        <v>0</v>
      </c>
      <c r="M39" s="315">
        <f>((I39*ED_8+(K39*ED_8))*WorkBreathRate)/IF(Inhalation_Exp[[#This Row],[Worker Type]]="Female of Reproductive Age",BW_F,BW_default)</f>
        <v>0</v>
      </c>
      <c r="N39" s="315">
        <f>IF(EFID&gt;Inhalation_Exp[[#This Row],[ED_High-End]],Inhalation_Exp[[#This Row],[24hr_High-End]]*Inhalation_Exp[[#This Row],[ED_High-End]]/ID,Inhalation_Exp[[#This Row],[24hr_High-End]]*EFID/ID)</f>
        <v>0</v>
      </c>
      <c r="O39" s="316">
        <f>IF(EFID&gt;Inhalation_Exp[[#This Row],[ED_Central Tendency]],Inhalation_Exp[[#This Row],[24hr_Central Tendency]]*Inhalation_Exp[[#This Row],[ED_Central Tendency]]/ID,Inhalation_Exp[[#This Row],[24hr_Central Tendency]]*EFID/ID)</f>
        <v>0</v>
      </c>
      <c r="P39" s="315">
        <f t="shared" si="2"/>
        <v>0</v>
      </c>
      <c r="Q39" s="316">
        <f t="shared" si="3"/>
        <v>0</v>
      </c>
      <c r="R39" s="317" t="s">
        <v>151</v>
      </c>
      <c r="S39" s="317" t="s">
        <v>151</v>
      </c>
      <c r="T39" s="318" t="s">
        <v>152</v>
      </c>
      <c r="U39" s="319" t="s">
        <v>153</v>
      </c>
    </row>
    <row r="40" spans="1:21" s="320" customFormat="1" ht="30" x14ac:dyDescent="0.2">
      <c r="A40" s="310"/>
      <c r="B40" s="311">
        <v>4</v>
      </c>
      <c r="C40" s="309" t="s">
        <v>166</v>
      </c>
      <c r="D40" s="312" t="s">
        <v>69</v>
      </c>
      <c r="E40" s="313" t="s">
        <v>150</v>
      </c>
      <c r="F40" s="313">
        <v>250</v>
      </c>
      <c r="G40" s="313">
        <v>232</v>
      </c>
      <c r="H40" s="314">
        <v>0</v>
      </c>
      <c r="I40" s="314">
        <v>0</v>
      </c>
      <c r="J40" s="314">
        <v>0</v>
      </c>
      <c r="K40" s="314">
        <v>0</v>
      </c>
      <c r="L40" s="315">
        <f>((H40*ED_8+(J40*ED_8))*WorkBreathRate)/IF(Inhalation_Exp[[#This Row],[Worker Type]]="Female of Reproductive Age",BW_F,BW_default)</f>
        <v>0</v>
      </c>
      <c r="M40" s="315">
        <f>((I40*ED_8+(K40*ED_8))*WorkBreathRate)/IF(Inhalation_Exp[[#This Row],[Worker Type]]="Female of Reproductive Age",BW_F,BW_default)</f>
        <v>0</v>
      </c>
      <c r="N40" s="315">
        <f>IF(EFID&gt;Inhalation_Exp[[#This Row],[ED_High-End]],Inhalation_Exp[[#This Row],[24hr_High-End]]*Inhalation_Exp[[#This Row],[ED_High-End]]/ID,Inhalation_Exp[[#This Row],[24hr_High-End]]*EFID/ID)</f>
        <v>0</v>
      </c>
      <c r="O40" s="316">
        <f>IF(EFID&gt;Inhalation_Exp[[#This Row],[ED_Central Tendency]],Inhalation_Exp[[#This Row],[24hr_Central Tendency]]*Inhalation_Exp[[#This Row],[ED_Central Tendency]]/ID,Inhalation_Exp[[#This Row],[24hr_Central Tendency]]*EFID/ID)</f>
        <v>0</v>
      </c>
      <c r="P40" s="315">
        <f t="shared" si="2"/>
        <v>0</v>
      </c>
      <c r="Q40" s="316">
        <f t="shared" si="3"/>
        <v>0</v>
      </c>
      <c r="R40" s="317" t="s">
        <v>151</v>
      </c>
      <c r="S40" s="317" t="s">
        <v>151</v>
      </c>
      <c r="T40" s="318" t="s">
        <v>154</v>
      </c>
      <c r="U40" s="319" t="s">
        <v>153</v>
      </c>
    </row>
    <row r="41" spans="1:21" s="320" customFormat="1" ht="15" x14ac:dyDescent="0.2">
      <c r="A41" s="310"/>
      <c r="B41" s="311">
        <v>4</v>
      </c>
      <c r="C41" s="309" t="s">
        <v>167</v>
      </c>
      <c r="D41" s="312" t="s">
        <v>52</v>
      </c>
      <c r="E41" s="313" t="s">
        <v>150</v>
      </c>
      <c r="F41" s="313">
        <v>250</v>
      </c>
      <c r="G41" s="313">
        <v>232</v>
      </c>
      <c r="H41" s="314">
        <v>0</v>
      </c>
      <c r="I41" s="314">
        <v>0</v>
      </c>
      <c r="J41" s="314">
        <v>2.7</v>
      </c>
      <c r="K41" s="321">
        <v>0.15</v>
      </c>
      <c r="L41" s="315">
        <f>((H41*ED_8+(J41*ED_8))*WorkBreathRate)/IF(Inhalation_Exp[[#This Row],[Worker Type]]="Female of Reproductive Age",BW_F,BW_default)</f>
        <v>0.33750000000000002</v>
      </c>
      <c r="M41" s="316">
        <f>((I41*ED_8+(K41*ED_8))*WorkBreathRate)/IF(Inhalation_Exp[[#This Row],[Worker Type]]="Female of Reproductive Age",BW_F,BW_default)</f>
        <v>1.8749999999999999E-2</v>
      </c>
      <c r="N41" s="315">
        <f>IF(EFID&gt;Inhalation_Exp[[#This Row],[ED_High-End]],Inhalation_Exp[[#This Row],[24hr_High-End]]*Inhalation_Exp[[#This Row],[ED_High-End]]/ID,Inhalation_Exp[[#This Row],[24hr_High-End]]*EFID/ID)</f>
        <v>0.24750000000000003</v>
      </c>
      <c r="O41" s="316">
        <f>IF(EFID&gt;Inhalation_Exp[[#This Row],[ED_Central Tendency]],Inhalation_Exp[[#This Row],[24hr_Central Tendency]]*Inhalation_Exp[[#This Row],[ED_Central Tendency]]/ID,Inhalation_Exp[[#This Row],[24hr_Central Tendency]]*EFID/ID)</f>
        <v>1.375E-2</v>
      </c>
      <c r="P41" s="315">
        <f t="shared" si="2"/>
        <v>0.23116438356164384</v>
      </c>
      <c r="Q41" s="316">
        <f t="shared" si="3"/>
        <v>1.1917808219178082E-2</v>
      </c>
      <c r="R41" s="317" t="s">
        <v>151</v>
      </c>
      <c r="S41" s="317" t="s">
        <v>151</v>
      </c>
      <c r="T41" s="318" t="s">
        <v>152</v>
      </c>
      <c r="U41" s="319" t="s">
        <v>153</v>
      </c>
    </row>
    <row r="42" spans="1:21" s="320" customFormat="1" ht="15" x14ac:dyDescent="0.2">
      <c r="A42" s="310"/>
      <c r="B42" s="311">
        <v>4</v>
      </c>
      <c r="C42" s="309" t="s">
        <v>167</v>
      </c>
      <c r="D42" s="312" t="s">
        <v>96</v>
      </c>
      <c r="E42" s="313" t="s">
        <v>150</v>
      </c>
      <c r="F42" s="313">
        <v>250</v>
      </c>
      <c r="G42" s="313">
        <v>232</v>
      </c>
      <c r="H42" s="314">
        <v>0</v>
      </c>
      <c r="I42" s="314">
        <v>0</v>
      </c>
      <c r="J42" s="314">
        <v>2.7</v>
      </c>
      <c r="K42" s="314">
        <v>0.15</v>
      </c>
      <c r="L42" s="315">
        <f>((H42*ED_8+(J42*ED_8))*WorkBreathRate)/IF(Inhalation_Exp[[#This Row],[Worker Type]]="Female of Reproductive Age",BW_F,BW_default)</f>
        <v>0.37279944770452184</v>
      </c>
      <c r="M42" s="315">
        <f>((I42*ED_8+(K42*ED_8))*WorkBreathRate)/IF(Inhalation_Exp[[#This Row],[Worker Type]]="Female of Reproductive Age",BW_F,BW_default)</f>
        <v>2.0711080428028994E-2</v>
      </c>
      <c r="N42" s="315">
        <f>IF(EFID&gt;Inhalation_Exp[[#This Row],[ED_High-End]],Inhalation_Exp[[#This Row],[24hr_High-End]]*Inhalation_Exp[[#This Row],[ED_High-End]]/ID,Inhalation_Exp[[#This Row],[24hr_High-End]]*EFID/ID)</f>
        <v>0.2733862616499827</v>
      </c>
      <c r="O42" s="316">
        <f>IF(EFID&gt;Inhalation_Exp[[#This Row],[ED_Central Tendency]],Inhalation_Exp[[#This Row],[24hr_Central Tendency]]*Inhalation_Exp[[#This Row],[ED_Central Tendency]]/ID,Inhalation_Exp[[#This Row],[24hr_Central Tendency]]*EFID/ID)</f>
        <v>1.5188125647221263E-2</v>
      </c>
      <c r="P42" s="315">
        <f t="shared" si="2"/>
        <v>0.25534208746885056</v>
      </c>
      <c r="Q42" s="316">
        <f t="shared" si="3"/>
        <v>1.3164303176171854E-2</v>
      </c>
      <c r="R42" s="317" t="s">
        <v>151</v>
      </c>
      <c r="S42" s="317" t="s">
        <v>151</v>
      </c>
      <c r="T42" s="318" t="s">
        <v>152</v>
      </c>
      <c r="U42" s="319" t="s">
        <v>153</v>
      </c>
    </row>
    <row r="43" spans="1:21" s="320" customFormat="1" ht="25.5" x14ac:dyDescent="0.2">
      <c r="A43" s="310"/>
      <c r="B43" s="311">
        <v>4</v>
      </c>
      <c r="C43" s="309" t="s">
        <v>167</v>
      </c>
      <c r="D43" s="312" t="s">
        <v>69</v>
      </c>
      <c r="E43" s="313" t="s">
        <v>150</v>
      </c>
      <c r="F43" s="313">
        <v>250</v>
      </c>
      <c r="G43" s="313">
        <v>232</v>
      </c>
      <c r="H43" s="314">
        <v>0</v>
      </c>
      <c r="I43" s="314">
        <v>0</v>
      </c>
      <c r="J43" s="314">
        <v>0.15</v>
      </c>
      <c r="K43" s="314">
        <v>0.15</v>
      </c>
      <c r="L43" s="315">
        <f>((H43*ED_8+(J43*ED_8))*WorkBreathRate)/IF(Inhalation_Exp[[#This Row],[Worker Type]]="Female of Reproductive Age",BW_F,BW_default)</f>
        <v>1.8749999999999999E-2</v>
      </c>
      <c r="M43" s="315">
        <f>((I43*ED_8+(K43*ED_8))*WorkBreathRate)/IF(Inhalation_Exp[[#This Row],[Worker Type]]="Female of Reproductive Age",BW_F,BW_default)</f>
        <v>1.8749999999999999E-2</v>
      </c>
      <c r="N43" s="315">
        <f>IF(EFID&gt;Inhalation_Exp[[#This Row],[ED_High-End]],Inhalation_Exp[[#This Row],[24hr_High-End]]*Inhalation_Exp[[#This Row],[ED_High-End]]/ID,Inhalation_Exp[[#This Row],[24hr_High-End]]*EFID/ID)</f>
        <v>1.375E-2</v>
      </c>
      <c r="O43" s="316">
        <f>IF(EFID&gt;Inhalation_Exp[[#This Row],[ED_Central Tendency]],Inhalation_Exp[[#This Row],[24hr_Central Tendency]]*Inhalation_Exp[[#This Row],[ED_Central Tendency]]/ID,Inhalation_Exp[[#This Row],[24hr_Central Tendency]]*EFID/ID)</f>
        <v>1.375E-2</v>
      </c>
      <c r="P43" s="315">
        <f t="shared" si="2"/>
        <v>1.2842465753424657E-2</v>
      </c>
      <c r="Q43" s="316">
        <f t="shared" si="3"/>
        <v>1.1917808219178082E-2</v>
      </c>
      <c r="R43" s="317" t="s">
        <v>151</v>
      </c>
      <c r="S43" s="317" t="s">
        <v>151</v>
      </c>
      <c r="T43" s="318" t="s">
        <v>154</v>
      </c>
      <c r="U43" s="319" t="s">
        <v>153</v>
      </c>
    </row>
    <row r="44" spans="1:21" s="320" customFormat="1" ht="15" x14ac:dyDescent="0.2">
      <c r="A44" s="310"/>
      <c r="B44" s="311">
        <v>5</v>
      </c>
      <c r="C44" s="309" t="s">
        <v>168</v>
      </c>
      <c r="D44" s="312" t="s">
        <v>52</v>
      </c>
      <c r="E44" s="313" t="s">
        <v>150</v>
      </c>
      <c r="F44" s="313">
        <v>250</v>
      </c>
      <c r="G44" s="313">
        <v>235</v>
      </c>
      <c r="H44" s="314">
        <v>0</v>
      </c>
      <c r="I44" s="314">
        <v>0</v>
      </c>
      <c r="J44" s="321">
        <v>0</v>
      </c>
      <c r="K44" s="321">
        <v>0</v>
      </c>
      <c r="L44" s="315">
        <f>((H44*ED_8+(J44*ED_8))*WorkBreathRate)/IF(Inhalation_Exp[[#This Row],[Worker Type]]="Female of Reproductive Age",BW_F,BW_default)</f>
        <v>0</v>
      </c>
      <c r="M44" s="316">
        <f>((I44*ED_8+(K44*ED_8))*WorkBreathRate)/IF(Inhalation_Exp[[#This Row],[Worker Type]]="Female of Reproductive Age",BW_F,BW_default)</f>
        <v>0</v>
      </c>
      <c r="N44" s="315">
        <f>IF(EFID&gt;Inhalation_Exp[[#This Row],[ED_High-End]],Inhalation_Exp[[#This Row],[24hr_High-End]]*Inhalation_Exp[[#This Row],[ED_High-End]]/ID,Inhalation_Exp[[#This Row],[24hr_High-End]]*EFID/ID)</f>
        <v>0</v>
      </c>
      <c r="O44" s="316">
        <f>IF(EFID&gt;Inhalation_Exp[[#This Row],[ED_Central Tendency]],Inhalation_Exp[[#This Row],[24hr_Central Tendency]]*Inhalation_Exp[[#This Row],[ED_Central Tendency]]/ID,Inhalation_Exp[[#This Row],[24hr_Central Tendency]]*EFID/ID)</f>
        <v>0</v>
      </c>
      <c r="P44" s="315">
        <f t="shared" si="2"/>
        <v>0</v>
      </c>
      <c r="Q44" s="316">
        <f t="shared" si="3"/>
        <v>0</v>
      </c>
      <c r="R44" s="317" t="s">
        <v>151</v>
      </c>
      <c r="S44" s="317" t="s">
        <v>151</v>
      </c>
      <c r="T44" s="318" t="s">
        <v>152</v>
      </c>
      <c r="U44" s="319" t="s">
        <v>153</v>
      </c>
    </row>
    <row r="45" spans="1:21" s="320" customFormat="1" ht="15" x14ac:dyDescent="0.2">
      <c r="A45" s="310"/>
      <c r="B45" s="311">
        <v>5</v>
      </c>
      <c r="C45" s="309" t="s">
        <v>168</v>
      </c>
      <c r="D45" s="312" t="s">
        <v>96</v>
      </c>
      <c r="E45" s="313" t="s">
        <v>150</v>
      </c>
      <c r="F45" s="313">
        <v>250</v>
      </c>
      <c r="G45" s="313">
        <v>235</v>
      </c>
      <c r="H45" s="314">
        <v>0</v>
      </c>
      <c r="I45" s="314">
        <v>0</v>
      </c>
      <c r="J45" s="314">
        <v>0</v>
      </c>
      <c r="K45" s="314">
        <v>0</v>
      </c>
      <c r="L45" s="315">
        <f>((H45*ED_8+(J45*ED_8))*WorkBreathRate)/IF(Inhalation_Exp[[#This Row],[Worker Type]]="Female of Reproductive Age",BW_F,BW_default)</f>
        <v>0</v>
      </c>
      <c r="M45" s="315">
        <f>((I45*ED_8+(K45*ED_8))*WorkBreathRate)/IF(Inhalation_Exp[[#This Row],[Worker Type]]="Female of Reproductive Age",BW_F,BW_default)</f>
        <v>0</v>
      </c>
      <c r="N45" s="315">
        <f>IF(EFID&gt;Inhalation_Exp[[#This Row],[ED_High-End]],Inhalation_Exp[[#This Row],[24hr_High-End]]*Inhalation_Exp[[#This Row],[ED_High-End]]/ID,Inhalation_Exp[[#This Row],[24hr_High-End]]*EFID/ID)</f>
        <v>0</v>
      </c>
      <c r="O45" s="316">
        <f>IF(EFID&gt;Inhalation_Exp[[#This Row],[ED_Central Tendency]],Inhalation_Exp[[#This Row],[24hr_Central Tendency]]*Inhalation_Exp[[#This Row],[ED_Central Tendency]]/ID,Inhalation_Exp[[#This Row],[24hr_Central Tendency]]*EFID/ID)</f>
        <v>0</v>
      </c>
      <c r="P45" s="315">
        <f t="shared" si="2"/>
        <v>0</v>
      </c>
      <c r="Q45" s="316">
        <f t="shared" si="3"/>
        <v>0</v>
      </c>
      <c r="R45" s="317" t="s">
        <v>151</v>
      </c>
      <c r="S45" s="317" t="s">
        <v>151</v>
      </c>
      <c r="T45" s="318" t="s">
        <v>152</v>
      </c>
      <c r="U45" s="319" t="s">
        <v>153</v>
      </c>
    </row>
    <row r="46" spans="1:21" s="320" customFormat="1" ht="25.5" x14ac:dyDescent="0.2">
      <c r="A46" s="310"/>
      <c r="B46" s="311">
        <v>5</v>
      </c>
      <c r="C46" s="309" t="s">
        <v>168</v>
      </c>
      <c r="D46" s="312" t="s">
        <v>69</v>
      </c>
      <c r="E46" s="313" t="s">
        <v>150</v>
      </c>
      <c r="F46" s="313">
        <v>250</v>
      </c>
      <c r="G46" s="313">
        <v>235</v>
      </c>
      <c r="H46" s="314">
        <v>0</v>
      </c>
      <c r="I46" s="314">
        <v>0</v>
      </c>
      <c r="J46" s="314">
        <v>0</v>
      </c>
      <c r="K46" s="314">
        <v>0</v>
      </c>
      <c r="L46" s="315">
        <f>((H46*ED_8+(J46*ED_8))*WorkBreathRate)/IF(Inhalation_Exp[[#This Row],[Worker Type]]="Female of Reproductive Age",BW_F,BW_default)</f>
        <v>0</v>
      </c>
      <c r="M46" s="315">
        <f>((I46*ED_8+(K46*ED_8))*WorkBreathRate)/IF(Inhalation_Exp[[#This Row],[Worker Type]]="Female of Reproductive Age",BW_F,BW_default)</f>
        <v>0</v>
      </c>
      <c r="N46" s="315">
        <f>IF(EFID&gt;Inhalation_Exp[[#This Row],[ED_High-End]],Inhalation_Exp[[#This Row],[24hr_High-End]]*Inhalation_Exp[[#This Row],[ED_High-End]]/ID,Inhalation_Exp[[#This Row],[24hr_High-End]]*EFID/ID)</f>
        <v>0</v>
      </c>
      <c r="O46" s="316">
        <f>IF(EFID&gt;Inhalation_Exp[[#This Row],[ED_Central Tendency]],Inhalation_Exp[[#This Row],[24hr_Central Tendency]]*Inhalation_Exp[[#This Row],[ED_Central Tendency]]/ID,Inhalation_Exp[[#This Row],[24hr_Central Tendency]]*EFID/ID)</f>
        <v>0</v>
      </c>
      <c r="P46" s="315">
        <f t="shared" si="2"/>
        <v>0</v>
      </c>
      <c r="Q46" s="316">
        <f t="shared" si="3"/>
        <v>0</v>
      </c>
      <c r="R46" s="317" t="s">
        <v>151</v>
      </c>
      <c r="S46" s="317" t="s">
        <v>151</v>
      </c>
      <c r="T46" s="318" t="s">
        <v>154</v>
      </c>
      <c r="U46" s="319" t="s">
        <v>153</v>
      </c>
    </row>
    <row r="47" spans="1:21" s="320" customFormat="1" ht="15" x14ac:dyDescent="0.2">
      <c r="A47" s="310"/>
      <c r="B47" s="311">
        <v>5</v>
      </c>
      <c r="C47" s="309" t="s">
        <v>169</v>
      </c>
      <c r="D47" s="312" t="s">
        <v>52</v>
      </c>
      <c r="E47" s="313" t="s">
        <v>150</v>
      </c>
      <c r="F47" s="313">
        <v>250</v>
      </c>
      <c r="G47" s="313">
        <v>235</v>
      </c>
      <c r="H47" s="314">
        <v>0</v>
      </c>
      <c r="I47" s="314">
        <v>0</v>
      </c>
      <c r="J47" s="321">
        <v>2.7</v>
      </c>
      <c r="K47" s="321">
        <v>0.19</v>
      </c>
      <c r="L47" s="315">
        <f>((H47*ED_8+(J47*ED_8))*WorkBreathRate)/IF(Inhalation_Exp[[#This Row],[Worker Type]]="Female of Reproductive Age",BW_F,BW_default)</f>
        <v>0.33750000000000002</v>
      </c>
      <c r="M47" s="316">
        <f>((I47*ED_8+(K47*ED_8))*WorkBreathRate)/IF(Inhalation_Exp[[#This Row],[Worker Type]]="Female of Reproductive Age",BW_F,BW_default)</f>
        <v>2.375E-2</v>
      </c>
      <c r="N47" s="315">
        <f>IF(EFID&gt;Inhalation_Exp[[#This Row],[ED_High-End]],Inhalation_Exp[[#This Row],[24hr_High-End]]*Inhalation_Exp[[#This Row],[ED_High-End]]/ID,Inhalation_Exp[[#This Row],[24hr_High-End]]*EFID/ID)</f>
        <v>0.24750000000000003</v>
      </c>
      <c r="O47" s="316">
        <f>IF(EFID&gt;Inhalation_Exp[[#This Row],[ED_Central Tendency]],Inhalation_Exp[[#This Row],[24hr_Central Tendency]]*Inhalation_Exp[[#This Row],[ED_Central Tendency]]/ID,Inhalation_Exp[[#This Row],[24hr_Central Tendency]]*EFID/ID)</f>
        <v>1.7416666666666667E-2</v>
      </c>
      <c r="P47" s="315">
        <f t="shared" si="2"/>
        <v>0.23116438356164384</v>
      </c>
      <c r="Q47" s="316">
        <f t="shared" si="3"/>
        <v>1.5291095890410958E-2</v>
      </c>
      <c r="R47" s="317" t="s">
        <v>151</v>
      </c>
      <c r="S47" s="317" t="s">
        <v>151</v>
      </c>
      <c r="T47" s="318" t="s">
        <v>152</v>
      </c>
      <c r="U47" s="319" t="s">
        <v>153</v>
      </c>
    </row>
    <row r="48" spans="1:21" s="320" customFormat="1" ht="15" x14ac:dyDescent="0.2">
      <c r="A48" s="310"/>
      <c r="B48" s="311">
        <v>5</v>
      </c>
      <c r="C48" s="309" t="s">
        <v>169</v>
      </c>
      <c r="D48" s="312" t="s">
        <v>96</v>
      </c>
      <c r="E48" s="313" t="s">
        <v>150</v>
      </c>
      <c r="F48" s="313">
        <v>250</v>
      </c>
      <c r="G48" s="313">
        <v>235</v>
      </c>
      <c r="H48" s="314">
        <v>0</v>
      </c>
      <c r="I48" s="314">
        <v>0</v>
      </c>
      <c r="J48" s="314">
        <v>2.7</v>
      </c>
      <c r="K48" s="314">
        <v>0.19</v>
      </c>
      <c r="L48" s="315">
        <f>((H48*ED_8+(J48*ED_8))*WorkBreathRate)/IF(Inhalation_Exp[[#This Row],[Worker Type]]="Female of Reproductive Age",BW_F,BW_default)</f>
        <v>0.37279944770452184</v>
      </c>
      <c r="M48" s="315">
        <f>((I48*ED_8+(K48*ED_8))*WorkBreathRate)/IF(Inhalation_Exp[[#This Row],[Worker Type]]="Female of Reproductive Age",BW_F,BW_default)</f>
        <v>2.6234035208836722E-2</v>
      </c>
      <c r="N48" s="315">
        <f>IF(EFID&gt;Inhalation_Exp[[#This Row],[ED_High-End]],Inhalation_Exp[[#This Row],[24hr_High-End]]*Inhalation_Exp[[#This Row],[ED_High-End]]/ID,Inhalation_Exp[[#This Row],[24hr_High-End]]*EFID/ID)</f>
        <v>0.2733862616499827</v>
      </c>
      <c r="O48" s="316">
        <f>IF(EFID&gt;Inhalation_Exp[[#This Row],[ED_Central Tendency]],Inhalation_Exp[[#This Row],[24hr_Central Tendency]]*Inhalation_Exp[[#This Row],[ED_Central Tendency]]/ID,Inhalation_Exp[[#This Row],[24hr_Central Tendency]]*EFID/ID)</f>
        <v>1.9238292486480259E-2</v>
      </c>
      <c r="P48" s="315">
        <f t="shared" si="2"/>
        <v>0.25534208746885056</v>
      </c>
      <c r="Q48" s="316">
        <f t="shared" si="3"/>
        <v>1.6890406230346933E-2</v>
      </c>
      <c r="R48" s="317" t="s">
        <v>151</v>
      </c>
      <c r="S48" s="317" t="s">
        <v>151</v>
      </c>
      <c r="T48" s="318" t="s">
        <v>152</v>
      </c>
      <c r="U48" s="319" t="s">
        <v>153</v>
      </c>
    </row>
    <row r="49" spans="1:21" s="320" customFormat="1" ht="25.5" x14ac:dyDescent="0.2">
      <c r="A49" s="310"/>
      <c r="B49" s="311">
        <v>5</v>
      </c>
      <c r="C49" s="309" t="s">
        <v>169</v>
      </c>
      <c r="D49" s="312" t="s">
        <v>69</v>
      </c>
      <c r="E49" s="313" t="s">
        <v>150</v>
      </c>
      <c r="F49" s="313">
        <v>250</v>
      </c>
      <c r="G49" s="313">
        <v>235</v>
      </c>
      <c r="H49" s="314">
        <v>0</v>
      </c>
      <c r="I49" s="314">
        <v>0</v>
      </c>
      <c r="J49" s="314">
        <v>0.19</v>
      </c>
      <c r="K49" s="314">
        <v>0.19</v>
      </c>
      <c r="L49" s="315">
        <f>((H49*ED_8+(J49*ED_8))*WorkBreathRate)/IF(Inhalation_Exp[[#This Row],[Worker Type]]="Female of Reproductive Age",BW_F,BW_default)</f>
        <v>2.375E-2</v>
      </c>
      <c r="M49" s="315">
        <f>((I49*ED_8+(K49*ED_8))*WorkBreathRate)/IF(Inhalation_Exp[[#This Row],[Worker Type]]="Female of Reproductive Age",BW_F,BW_default)</f>
        <v>2.375E-2</v>
      </c>
      <c r="N49" s="315">
        <f>IF(EFID&gt;Inhalation_Exp[[#This Row],[ED_High-End]],Inhalation_Exp[[#This Row],[24hr_High-End]]*Inhalation_Exp[[#This Row],[ED_High-End]]/ID,Inhalation_Exp[[#This Row],[24hr_High-End]]*EFID/ID)</f>
        <v>1.7416666666666667E-2</v>
      </c>
      <c r="O49" s="316">
        <f>IF(EFID&gt;Inhalation_Exp[[#This Row],[ED_Central Tendency]],Inhalation_Exp[[#This Row],[24hr_Central Tendency]]*Inhalation_Exp[[#This Row],[ED_Central Tendency]]/ID,Inhalation_Exp[[#This Row],[24hr_Central Tendency]]*EFID/ID)</f>
        <v>1.7416666666666667E-2</v>
      </c>
      <c r="P49" s="315">
        <f t="shared" si="2"/>
        <v>1.6267123287671232E-2</v>
      </c>
      <c r="Q49" s="316">
        <f t="shared" si="3"/>
        <v>1.5291095890410958E-2</v>
      </c>
      <c r="R49" s="317" t="s">
        <v>151</v>
      </c>
      <c r="S49" s="317" t="s">
        <v>151</v>
      </c>
      <c r="T49" s="318" t="s">
        <v>154</v>
      </c>
      <c r="U49" s="319" t="s">
        <v>153</v>
      </c>
    </row>
    <row r="50" spans="1:21" s="320" customFormat="1" ht="15" x14ac:dyDescent="0.2">
      <c r="A50" s="310"/>
      <c r="B50" s="311">
        <v>6</v>
      </c>
      <c r="C50" s="309" t="s">
        <v>170</v>
      </c>
      <c r="D50" s="312" t="s">
        <v>52</v>
      </c>
      <c r="E50" s="313" t="s">
        <v>150</v>
      </c>
      <c r="F50" s="313">
        <v>250</v>
      </c>
      <c r="G50" s="313">
        <v>223</v>
      </c>
      <c r="H50" s="314">
        <v>0</v>
      </c>
      <c r="I50" s="314">
        <v>0</v>
      </c>
      <c r="J50" s="322">
        <v>1.575</v>
      </c>
      <c r="K50" s="321">
        <v>0.108</v>
      </c>
      <c r="L50" s="315">
        <f>((H50*ED_8+(J50*ED_8))*WorkBreathRate)/IF(Inhalation_Exp[[#This Row],[Worker Type]]="Female of Reproductive Age",BW_F,BW_default)</f>
        <v>0.19687499999999999</v>
      </c>
      <c r="M50" s="316">
        <f>((I50*ED_8+(K50*ED_8))*WorkBreathRate)/IF(Inhalation_Exp[[#This Row],[Worker Type]]="Female of Reproductive Age",BW_F,BW_default)</f>
        <v>1.3500000000000002E-2</v>
      </c>
      <c r="N50" s="315">
        <f>IF(EFID&gt;Inhalation_Exp[[#This Row],[ED_High-End]],Inhalation_Exp[[#This Row],[24hr_High-End]]*Inhalation_Exp[[#This Row],[ED_High-End]]/ID,Inhalation_Exp[[#This Row],[24hr_High-End]]*EFID/ID)</f>
        <v>0.144375</v>
      </c>
      <c r="O50" s="316">
        <f>IF(EFID&gt;Inhalation_Exp[[#This Row],[ED_Central Tendency]],Inhalation_Exp[[#This Row],[24hr_Central Tendency]]*Inhalation_Exp[[#This Row],[ED_Central Tendency]]/ID,Inhalation_Exp[[#This Row],[24hr_Central Tendency]]*EFID/ID)</f>
        <v>9.9000000000000008E-3</v>
      </c>
      <c r="P50" s="315">
        <f t="shared" si="2"/>
        <v>0.1348458904109589</v>
      </c>
      <c r="Q50" s="316">
        <f t="shared" si="3"/>
        <v>8.2479452054794525E-3</v>
      </c>
      <c r="R50" s="317" t="s">
        <v>151</v>
      </c>
      <c r="S50" s="317" t="s">
        <v>151</v>
      </c>
      <c r="T50" s="318" t="s">
        <v>152</v>
      </c>
      <c r="U50" s="319" t="s">
        <v>153</v>
      </c>
    </row>
    <row r="51" spans="1:21" s="320" customFormat="1" ht="15" x14ac:dyDescent="0.2">
      <c r="A51" s="310"/>
      <c r="B51" s="311">
        <v>6</v>
      </c>
      <c r="C51" s="309" t="s">
        <v>170</v>
      </c>
      <c r="D51" s="312" t="s">
        <v>96</v>
      </c>
      <c r="E51" s="313" t="s">
        <v>150</v>
      </c>
      <c r="F51" s="313">
        <v>250</v>
      </c>
      <c r="G51" s="313">
        <v>223</v>
      </c>
      <c r="H51" s="314">
        <v>0</v>
      </c>
      <c r="I51" s="314">
        <v>0</v>
      </c>
      <c r="J51" s="314">
        <v>1.575</v>
      </c>
      <c r="K51" s="314">
        <v>0.108</v>
      </c>
      <c r="L51" s="315">
        <f>((H51*ED_8+(J51*ED_8))*WorkBreathRate)/IF(Inhalation_Exp[[#This Row],[Worker Type]]="Female of Reproductive Age",BW_F,BW_default)</f>
        <v>0.21746634449430441</v>
      </c>
      <c r="M51" s="315">
        <f>((I51*ED_8+(K51*ED_8))*WorkBreathRate)/IF(Inhalation_Exp[[#This Row],[Worker Type]]="Female of Reproductive Age",BW_F,BW_default)</f>
        <v>1.4911977908180876E-2</v>
      </c>
      <c r="N51" s="315">
        <f>IF(EFID&gt;Inhalation_Exp[[#This Row],[ED_High-End]],Inhalation_Exp[[#This Row],[24hr_High-End]]*Inhalation_Exp[[#This Row],[ED_High-End]]/ID,Inhalation_Exp[[#This Row],[24hr_High-End]]*EFID/ID)</f>
        <v>0.15947531929582323</v>
      </c>
      <c r="O51" s="316">
        <f>IF(EFID&gt;Inhalation_Exp[[#This Row],[ED_Central Tendency]],Inhalation_Exp[[#This Row],[24hr_Central Tendency]]*Inhalation_Exp[[#This Row],[ED_Central Tendency]]/ID,Inhalation_Exp[[#This Row],[24hr_Central Tendency]]*EFID/ID)</f>
        <v>1.093545046599931E-2</v>
      </c>
      <c r="P51" s="315">
        <f t="shared" si="2"/>
        <v>0.14894955102349619</v>
      </c>
      <c r="Q51" s="316">
        <f t="shared" si="3"/>
        <v>9.1106056808885894E-3</v>
      </c>
      <c r="R51" s="317" t="s">
        <v>151</v>
      </c>
      <c r="S51" s="317" t="s">
        <v>151</v>
      </c>
      <c r="T51" s="318" t="s">
        <v>152</v>
      </c>
      <c r="U51" s="319" t="s">
        <v>153</v>
      </c>
    </row>
    <row r="52" spans="1:21" s="320" customFormat="1" ht="25.5" x14ac:dyDescent="0.2">
      <c r="A52" s="310"/>
      <c r="B52" s="311">
        <v>6</v>
      </c>
      <c r="C52" s="309" t="s">
        <v>170</v>
      </c>
      <c r="D52" s="312" t="s">
        <v>69</v>
      </c>
      <c r="E52" s="313" t="s">
        <v>150</v>
      </c>
      <c r="F52" s="313">
        <v>250</v>
      </c>
      <c r="G52" s="313">
        <v>223</v>
      </c>
      <c r="H52" s="314">
        <v>0</v>
      </c>
      <c r="I52" s="314">
        <v>0</v>
      </c>
      <c r="J52" s="314">
        <v>0.108</v>
      </c>
      <c r="K52" s="314">
        <v>0.108</v>
      </c>
      <c r="L52" s="315">
        <f>((H52*ED_8+(J52*ED_8))*WorkBreathRate)/IF(Inhalation_Exp[[#This Row],[Worker Type]]="Female of Reproductive Age",BW_F,BW_default)</f>
        <v>1.3500000000000002E-2</v>
      </c>
      <c r="M52" s="315">
        <f>((I52*ED_8+(K52*ED_8))*WorkBreathRate)/IF(Inhalation_Exp[[#This Row],[Worker Type]]="Female of Reproductive Age",BW_F,BW_default)</f>
        <v>1.3500000000000002E-2</v>
      </c>
      <c r="N52" s="315">
        <f>IF(EFID&gt;Inhalation_Exp[[#This Row],[ED_High-End]],Inhalation_Exp[[#This Row],[24hr_High-End]]*Inhalation_Exp[[#This Row],[ED_High-End]]/ID,Inhalation_Exp[[#This Row],[24hr_High-End]]*EFID/ID)</f>
        <v>9.9000000000000008E-3</v>
      </c>
      <c r="O52" s="316">
        <f>IF(EFID&gt;Inhalation_Exp[[#This Row],[ED_Central Tendency]],Inhalation_Exp[[#This Row],[24hr_Central Tendency]]*Inhalation_Exp[[#This Row],[ED_Central Tendency]]/ID,Inhalation_Exp[[#This Row],[24hr_Central Tendency]]*EFID/ID)</f>
        <v>9.9000000000000008E-3</v>
      </c>
      <c r="P52" s="315">
        <f t="shared" si="2"/>
        <v>9.2465753424657553E-3</v>
      </c>
      <c r="Q52" s="316">
        <f t="shared" si="3"/>
        <v>8.2479452054794525E-3</v>
      </c>
      <c r="R52" s="317" t="s">
        <v>151</v>
      </c>
      <c r="S52" s="317" t="s">
        <v>151</v>
      </c>
      <c r="T52" s="318" t="s">
        <v>154</v>
      </c>
      <c r="U52" s="319" t="s">
        <v>153</v>
      </c>
    </row>
    <row r="53" spans="1:21" s="320" customFormat="1" ht="30" x14ac:dyDescent="0.2">
      <c r="A53" s="310"/>
      <c r="B53" s="311">
        <v>6</v>
      </c>
      <c r="C53" s="309" t="s">
        <v>171</v>
      </c>
      <c r="D53" s="312" t="s">
        <v>52</v>
      </c>
      <c r="E53" s="313" t="s">
        <v>150</v>
      </c>
      <c r="F53" s="313">
        <v>250</v>
      </c>
      <c r="G53" s="313">
        <v>250</v>
      </c>
      <c r="H53" s="314">
        <v>0</v>
      </c>
      <c r="I53" s="314">
        <v>0</v>
      </c>
      <c r="J53" s="322">
        <v>0.81</v>
      </c>
      <c r="K53" s="321">
        <v>0.09</v>
      </c>
      <c r="L53" s="315">
        <f>((H53*ED_8+(J53*ED_8))*WorkBreathRate)/IF(Inhalation_Exp[[#This Row],[Worker Type]]="Female of Reproductive Age",BW_F,BW_default)</f>
        <v>0.10125000000000002</v>
      </c>
      <c r="M53" s="316">
        <f>((I53*ED_8+(K53*ED_8))*WorkBreathRate)/IF(Inhalation_Exp[[#This Row],[Worker Type]]="Female of Reproductive Age",BW_F,BW_default)</f>
        <v>1.125E-2</v>
      </c>
      <c r="N53" s="315">
        <f>IF(EFID&gt;Inhalation_Exp[[#This Row],[ED_High-End]],Inhalation_Exp[[#This Row],[24hr_High-End]]*Inhalation_Exp[[#This Row],[ED_High-End]]/ID,Inhalation_Exp[[#This Row],[24hr_High-End]]*EFID/ID)</f>
        <v>7.425000000000001E-2</v>
      </c>
      <c r="O53" s="316">
        <f>IF(EFID&gt;Inhalation_Exp[[#This Row],[ED_Central Tendency]],Inhalation_Exp[[#This Row],[24hr_Central Tendency]]*Inhalation_Exp[[#This Row],[ED_Central Tendency]]/ID,Inhalation_Exp[[#This Row],[24hr_Central Tendency]]*EFID/ID)</f>
        <v>8.2500000000000004E-3</v>
      </c>
      <c r="P53" s="315">
        <f t="shared" si="2"/>
        <v>6.9349315068493164E-2</v>
      </c>
      <c r="Q53" s="316">
        <f t="shared" si="3"/>
        <v>7.7054794520547941E-3</v>
      </c>
      <c r="R53" s="317" t="s">
        <v>151</v>
      </c>
      <c r="S53" s="317" t="s">
        <v>151</v>
      </c>
      <c r="T53" s="318" t="s">
        <v>152</v>
      </c>
      <c r="U53" s="319" t="s">
        <v>153</v>
      </c>
    </row>
    <row r="54" spans="1:21" s="320" customFormat="1" ht="30" x14ac:dyDescent="0.2">
      <c r="A54" s="310"/>
      <c r="B54" s="311">
        <v>6</v>
      </c>
      <c r="C54" s="309" t="s">
        <v>171</v>
      </c>
      <c r="D54" s="312" t="s">
        <v>96</v>
      </c>
      <c r="E54" s="313" t="s">
        <v>150</v>
      </c>
      <c r="F54" s="313">
        <v>250</v>
      </c>
      <c r="G54" s="313">
        <v>250</v>
      </c>
      <c r="H54" s="314">
        <v>0</v>
      </c>
      <c r="I54" s="314">
        <v>0</v>
      </c>
      <c r="J54" s="314">
        <v>0.81</v>
      </c>
      <c r="K54" s="314">
        <v>0.09</v>
      </c>
      <c r="L54" s="315">
        <f>((H54*ED_8+(J54*ED_8))*WorkBreathRate)/IF(Inhalation_Exp[[#This Row],[Worker Type]]="Female of Reproductive Age",BW_F,BW_default)</f>
        <v>0.11183983431135658</v>
      </c>
      <c r="M54" s="315">
        <f>((I54*ED_8+(K54*ED_8))*WorkBreathRate)/IF(Inhalation_Exp[[#This Row],[Worker Type]]="Female of Reproductive Age",BW_F,BW_default)</f>
        <v>1.2426648256817394E-2</v>
      </c>
      <c r="N54" s="315">
        <f>IF(EFID&gt;Inhalation_Exp[[#This Row],[ED_High-End]],Inhalation_Exp[[#This Row],[24hr_High-End]]*Inhalation_Exp[[#This Row],[ED_High-End]]/ID,Inhalation_Exp[[#This Row],[24hr_High-End]]*EFID/ID)</f>
        <v>8.2015878494994823E-2</v>
      </c>
      <c r="O54" s="316">
        <f>IF(EFID&gt;Inhalation_Exp[[#This Row],[ED_Central Tendency]],Inhalation_Exp[[#This Row],[24hr_Central Tendency]]*Inhalation_Exp[[#This Row],[ED_Central Tendency]]/ID,Inhalation_Exp[[#This Row],[24hr_Central Tendency]]*EFID/ID)</f>
        <v>9.1128753883327543E-3</v>
      </c>
      <c r="P54" s="315">
        <f t="shared" si="2"/>
        <v>7.6602626240655183E-2</v>
      </c>
      <c r="Q54" s="316">
        <f t="shared" si="3"/>
        <v>8.5114029156283522E-3</v>
      </c>
      <c r="R54" s="317" t="s">
        <v>151</v>
      </c>
      <c r="S54" s="317" t="s">
        <v>151</v>
      </c>
      <c r="T54" s="318" t="s">
        <v>152</v>
      </c>
      <c r="U54" s="319" t="s">
        <v>153</v>
      </c>
    </row>
    <row r="55" spans="1:21" s="320" customFormat="1" ht="30" x14ac:dyDescent="0.2">
      <c r="A55" s="310"/>
      <c r="B55" s="311">
        <v>6</v>
      </c>
      <c r="C55" s="309" t="s">
        <v>171</v>
      </c>
      <c r="D55" s="312" t="s">
        <v>69</v>
      </c>
      <c r="E55" s="313" t="s">
        <v>150</v>
      </c>
      <c r="F55" s="313">
        <v>250</v>
      </c>
      <c r="G55" s="313">
        <v>250</v>
      </c>
      <c r="H55" s="314">
        <v>0</v>
      </c>
      <c r="I55" s="314">
        <v>0</v>
      </c>
      <c r="J55" s="314">
        <v>0.09</v>
      </c>
      <c r="K55" s="314">
        <v>0.09</v>
      </c>
      <c r="L55" s="315">
        <f>((H55*ED_8+(J55*ED_8))*WorkBreathRate)/IF(Inhalation_Exp[[#This Row],[Worker Type]]="Female of Reproductive Age",BW_F,BW_default)</f>
        <v>1.125E-2</v>
      </c>
      <c r="M55" s="315">
        <f>((I55*ED_8+(K55*ED_8))*WorkBreathRate)/IF(Inhalation_Exp[[#This Row],[Worker Type]]="Female of Reproductive Age",BW_F,BW_default)</f>
        <v>1.125E-2</v>
      </c>
      <c r="N55" s="315">
        <f>IF(EFID&gt;Inhalation_Exp[[#This Row],[ED_High-End]],Inhalation_Exp[[#This Row],[24hr_High-End]]*Inhalation_Exp[[#This Row],[ED_High-End]]/ID,Inhalation_Exp[[#This Row],[24hr_High-End]]*EFID/ID)</f>
        <v>8.2500000000000004E-3</v>
      </c>
      <c r="O55" s="316">
        <f>IF(EFID&gt;Inhalation_Exp[[#This Row],[ED_Central Tendency]],Inhalation_Exp[[#This Row],[24hr_Central Tendency]]*Inhalation_Exp[[#This Row],[ED_Central Tendency]]/ID,Inhalation_Exp[[#This Row],[24hr_Central Tendency]]*EFID/ID)</f>
        <v>8.2500000000000004E-3</v>
      </c>
      <c r="P55" s="315">
        <f t="shared" si="2"/>
        <v>7.7054794520547941E-3</v>
      </c>
      <c r="Q55" s="316">
        <f t="shared" si="3"/>
        <v>7.7054794520547941E-3</v>
      </c>
      <c r="R55" s="317" t="s">
        <v>151</v>
      </c>
      <c r="S55" s="317" t="s">
        <v>151</v>
      </c>
      <c r="T55" s="318" t="s">
        <v>154</v>
      </c>
      <c r="U55" s="319" t="s">
        <v>153</v>
      </c>
    </row>
    <row r="56" spans="1:21" s="320" customFormat="1" ht="15" x14ac:dyDescent="0.2">
      <c r="A56" s="310"/>
      <c r="B56" s="311">
        <v>6</v>
      </c>
      <c r="C56" s="309" t="s">
        <v>172</v>
      </c>
      <c r="D56" s="312" t="s">
        <v>52</v>
      </c>
      <c r="E56" s="313" t="s">
        <v>150</v>
      </c>
      <c r="F56" s="313">
        <v>250</v>
      </c>
      <c r="G56" s="313">
        <v>223</v>
      </c>
      <c r="H56" s="314">
        <v>0</v>
      </c>
      <c r="I56" s="314">
        <v>0</v>
      </c>
      <c r="J56" s="322">
        <v>1.575</v>
      </c>
      <c r="K56" s="321">
        <v>0.108</v>
      </c>
      <c r="L56" s="315">
        <f>((H56*ED_8+(J56*ED_8))*WorkBreathRate)/IF(Inhalation_Exp[[#This Row],[Worker Type]]="Female of Reproductive Age",BW_F,BW_default)</f>
        <v>0.19687499999999999</v>
      </c>
      <c r="M56" s="316">
        <f>((I56*ED_8+(K56*ED_8))*WorkBreathRate)/IF(Inhalation_Exp[[#This Row],[Worker Type]]="Female of Reproductive Age",BW_F,BW_default)</f>
        <v>1.3500000000000002E-2</v>
      </c>
      <c r="N56" s="315">
        <f>IF(EFID&gt;Inhalation_Exp[[#This Row],[ED_High-End]],Inhalation_Exp[[#This Row],[24hr_High-End]]*Inhalation_Exp[[#This Row],[ED_High-End]]/ID,Inhalation_Exp[[#This Row],[24hr_High-End]]*EFID/ID)</f>
        <v>0.144375</v>
      </c>
      <c r="O56" s="316">
        <f>IF(EFID&gt;Inhalation_Exp[[#This Row],[ED_Central Tendency]],Inhalation_Exp[[#This Row],[24hr_Central Tendency]]*Inhalation_Exp[[#This Row],[ED_Central Tendency]]/ID,Inhalation_Exp[[#This Row],[24hr_Central Tendency]]*EFID/ID)</f>
        <v>9.9000000000000008E-3</v>
      </c>
      <c r="P56" s="315">
        <f t="shared" si="2"/>
        <v>0.1348458904109589</v>
      </c>
      <c r="Q56" s="316">
        <f t="shared" si="3"/>
        <v>8.2479452054794525E-3</v>
      </c>
      <c r="R56" s="317" t="s">
        <v>151</v>
      </c>
      <c r="S56" s="317" t="s">
        <v>151</v>
      </c>
      <c r="T56" s="318" t="s">
        <v>152</v>
      </c>
      <c r="U56" s="319" t="s">
        <v>153</v>
      </c>
    </row>
    <row r="57" spans="1:21" s="320" customFormat="1" ht="15" x14ac:dyDescent="0.2">
      <c r="A57" s="310"/>
      <c r="B57" s="311">
        <v>6</v>
      </c>
      <c r="C57" s="309" t="s">
        <v>172</v>
      </c>
      <c r="D57" s="312" t="s">
        <v>96</v>
      </c>
      <c r="E57" s="313" t="s">
        <v>150</v>
      </c>
      <c r="F57" s="313">
        <v>250</v>
      </c>
      <c r="G57" s="313">
        <v>223</v>
      </c>
      <c r="H57" s="314">
        <v>0</v>
      </c>
      <c r="I57" s="314">
        <v>0</v>
      </c>
      <c r="J57" s="314">
        <v>1.575</v>
      </c>
      <c r="K57" s="314">
        <v>0.108</v>
      </c>
      <c r="L57" s="315">
        <f>((H57*ED_8+(J57*ED_8))*WorkBreathRate)/IF(Inhalation_Exp[[#This Row],[Worker Type]]="Female of Reproductive Age",BW_F,BW_default)</f>
        <v>0.21746634449430441</v>
      </c>
      <c r="M57" s="315">
        <f>((I57*ED_8+(K57*ED_8))*WorkBreathRate)/IF(Inhalation_Exp[[#This Row],[Worker Type]]="Female of Reproductive Age",BW_F,BW_default)</f>
        <v>1.4911977908180876E-2</v>
      </c>
      <c r="N57" s="315">
        <f>IF(EFID&gt;Inhalation_Exp[[#This Row],[ED_High-End]],Inhalation_Exp[[#This Row],[24hr_High-End]]*Inhalation_Exp[[#This Row],[ED_High-End]]/ID,Inhalation_Exp[[#This Row],[24hr_High-End]]*EFID/ID)</f>
        <v>0.15947531929582323</v>
      </c>
      <c r="O57" s="316">
        <f>IF(EFID&gt;Inhalation_Exp[[#This Row],[ED_Central Tendency]],Inhalation_Exp[[#This Row],[24hr_Central Tendency]]*Inhalation_Exp[[#This Row],[ED_Central Tendency]]/ID,Inhalation_Exp[[#This Row],[24hr_Central Tendency]]*EFID/ID)</f>
        <v>1.093545046599931E-2</v>
      </c>
      <c r="P57" s="315">
        <f t="shared" si="2"/>
        <v>0.14894955102349619</v>
      </c>
      <c r="Q57" s="316">
        <f t="shared" si="3"/>
        <v>9.1106056808885894E-3</v>
      </c>
      <c r="R57" s="317" t="s">
        <v>151</v>
      </c>
      <c r="S57" s="317" t="s">
        <v>151</v>
      </c>
      <c r="T57" s="318" t="s">
        <v>152</v>
      </c>
      <c r="U57" s="319" t="s">
        <v>153</v>
      </c>
    </row>
    <row r="58" spans="1:21" s="320" customFormat="1" ht="26.25" thickBot="1" x14ac:dyDescent="0.25">
      <c r="A58" s="310"/>
      <c r="B58" s="323">
        <v>6</v>
      </c>
      <c r="C58" s="324" t="s">
        <v>172</v>
      </c>
      <c r="D58" s="312" t="s">
        <v>69</v>
      </c>
      <c r="E58" s="313" t="s">
        <v>150</v>
      </c>
      <c r="F58" s="313">
        <v>250</v>
      </c>
      <c r="G58" s="313">
        <v>223</v>
      </c>
      <c r="H58" s="314">
        <v>0</v>
      </c>
      <c r="I58" s="314">
        <v>0</v>
      </c>
      <c r="J58" s="314">
        <v>0.108</v>
      </c>
      <c r="K58" s="314">
        <v>0.108</v>
      </c>
      <c r="L58" s="315">
        <f>((H58*ED_8+(J58*ED_8))*WorkBreathRate)/IF(Inhalation_Exp[[#This Row],[Worker Type]]="Female of Reproductive Age",BW_F,BW_default)</f>
        <v>1.3500000000000002E-2</v>
      </c>
      <c r="M58" s="315">
        <f>((I58*ED_8+(K58*ED_8))*WorkBreathRate)/IF(Inhalation_Exp[[#This Row],[Worker Type]]="Female of Reproductive Age",BW_F,BW_default)</f>
        <v>1.3500000000000002E-2</v>
      </c>
      <c r="N58" s="315">
        <f>IF(EFID&gt;Inhalation_Exp[[#This Row],[ED_High-End]],Inhalation_Exp[[#This Row],[24hr_High-End]]*Inhalation_Exp[[#This Row],[ED_High-End]]/ID,Inhalation_Exp[[#This Row],[24hr_High-End]]*EFID/ID)</f>
        <v>9.9000000000000008E-3</v>
      </c>
      <c r="O58" s="316">
        <f>IF(EFID&gt;Inhalation_Exp[[#This Row],[ED_Central Tendency]],Inhalation_Exp[[#This Row],[24hr_Central Tendency]]*Inhalation_Exp[[#This Row],[ED_Central Tendency]]/ID,Inhalation_Exp[[#This Row],[24hr_Central Tendency]]*EFID/ID)</f>
        <v>9.9000000000000008E-3</v>
      </c>
      <c r="P58" s="315">
        <f t="shared" si="2"/>
        <v>9.2465753424657553E-3</v>
      </c>
      <c r="Q58" s="316">
        <f t="shared" si="3"/>
        <v>8.2479452054794525E-3</v>
      </c>
      <c r="R58" s="317" t="s">
        <v>151</v>
      </c>
      <c r="S58" s="317" t="s">
        <v>151</v>
      </c>
      <c r="T58" s="318" t="s">
        <v>154</v>
      </c>
      <c r="U58" s="319" t="s">
        <v>153</v>
      </c>
    </row>
    <row r="59" spans="1:21" s="320" customFormat="1" x14ac:dyDescent="0.2">
      <c r="A59" s="310"/>
      <c r="B59" s="325"/>
      <c r="C59" s="326"/>
      <c r="D59" s="327"/>
      <c r="E59" s="328"/>
      <c r="F59" s="328"/>
      <c r="G59" s="328"/>
      <c r="H59" s="329"/>
      <c r="I59" s="329"/>
      <c r="J59" s="329"/>
      <c r="K59" s="329"/>
      <c r="L59" s="330"/>
      <c r="M59" s="330"/>
      <c r="N59" s="329"/>
      <c r="O59" s="329"/>
      <c r="P59" s="330"/>
      <c r="Q59" s="330"/>
      <c r="R59" s="331"/>
      <c r="S59" s="331"/>
      <c r="T59" s="332"/>
      <c r="U59" s="333"/>
    </row>
    <row r="60" spans="1:21" ht="15" x14ac:dyDescent="0.2">
      <c r="I60" s="270"/>
      <c r="J60" s="303"/>
    </row>
    <row r="61" spans="1:21" x14ac:dyDescent="0.2">
      <c r="E61" s="265"/>
      <c r="I61" s="2"/>
    </row>
    <row r="62" spans="1:21" x14ac:dyDescent="0.2">
      <c r="J62" s="13"/>
      <c r="N62" s="13"/>
      <c r="O62" s="13"/>
      <c r="Q62" s="1"/>
    </row>
    <row r="63" spans="1:21" x14ac:dyDescent="0.2">
      <c r="J63" s="13"/>
      <c r="N63" s="13"/>
      <c r="O63" s="13"/>
      <c r="Q63" s="1"/>
    </row>
    <row r="64" spans="1:21" x14ac:dyDescent="0.2">
      <c r="N64" s="13"/>
      <c r="O64" s="13"/>
      <c r="Q64" s="1"/>
    </row>
    <row r="65" spans="9:17" x14ac:dyDescent="0.2">
      <c r="N65" s="13"/>
      <c r="O65" s="13"/>
      <c r="Q65" s="1"/>
    </row>
    <row r="66" spans="9:17" x14ac:dyDescent="0.2">
      <c r="N66" s="13"/>
      <c r="O66" s="13"/>
      <c r="Q66" s="1"/>
    </row>
    <row r="67" spans="9:17" x14ac:dyDescent="0.2">
      <c r="J67" s="265"/>
      <c r="K67" s="265" t="s">
        <v>173</v>
      </c>
      <c r="N67" s="13"/>
      <c r="O67" s="13"/>
      <c r="Q67" s="1"/>
    </row>
    <row r="68" spans="9:17" x14ac:dyDescent="0.2">
      <c r="J68" s="13"/>
      <c r="N68" s="13"/>
      <c r="O68" s="13"/>
      <c r="Q68" s="1"/>
    </row>
    <row r="69" spans="9:17" x14ac:dyDescent="0.2">
      <c r="I69" s="271"/>
    </row>
    <row r="70" spans="9:17" x14ac:dyDescent="0.2">
      <c r="I70" s="271"/>
    </row>
    <row r="71" spans="9:17" x14ac:dyDescent="0.2">
      <c r="I71" s="271"/>
    </row>
    <row r="72" spans="9:17" x14ac:dyDescent="0.2">
      <c r="I72" s="271"/>
    </row>
    <row r="73" spans="9:17" x14ac:dyDescent="0.2">
      <c r="I73" s="271"/>
    </row>
    <row r="74" spans="9:17" x14ac:dyDescent="0.2">
      <c r="I74" s="271"/>
    </row>
    <row r="75" spans="9:17" x14ac:dyDescent="0.2">
      <c r="I75" s="271"/>
    </row>
    <row r="76" spans="9:17" x14ac:dyDescent="0.2">
      <c r="I76" s="271"/>
    </row>
    <row r="77" spans="9:17" x14ac:dyDescent="0.2">
      <c r="I77" s="271"/>
    </row>
    <row r="78" spans="9:17" x14ac:dyDescent="0.2">
      <c r="I78" s="271"/>
    </row>
    <row r="79" spans="9:17" x14ac:dyDescent="0.2">
      <c r="I79" s="271"/>
    </row>
    <row r="80" spans="9:17" x14ac:dyDescent="0.2">
      <c r="I80" s="271"/>
    </row>
    <row r="81" spans="9:9" x14ac:dyDescent="0.2">
      <c r="I81" s="271"/>
    </row>
  </sheetData>
  <sheetProtection sheet="1" objects="1" scenarios="1" formatCells="0" formatColumns="0" formatRows="0"/>
  <mergeCells count="11">
    <mergeCell ref="N2:O2"/>
    <mergeCell ref="N3:O3"/>
    <mergeCell ref="L3:M3"/>
    <mergeCell ref="P3:Q3"/>
    <mergeCell ref="L2:M2"/>
    <mergeCell ref="P2:Q2"/>
    <mergeCell ref="F2:G3"/>
    <mergeCell ref="H2:I2"/>
    <mergeCell ref="J2:K2"/>
    <mergeCell ref="H3:I3"/>
    <mergeCell ref="J3:K3"/>
  </mergeCells>
  <phoneticPr fontId="2" type="noConversion"/>
  <conditionalFormatting sqref="J5:Q5 H5:I16 J6:K16 L6:Q58 H17:K19 J20:K52 H20:I59 K53 J54:K55 K56 J57:K58 I60:I61 I69:I81">
    <cfRule type="cellIs" dxfId="129" priority="21" operator="greaterThan">
      <formula>10000</formula>
    </cfRule>
    <cfRule type="cellIs" dxfId="128" priority="25" operator="lessThan">
      <formula>0.1</formula>
    </cfRule>
    <cfRule type="cellIs" dxfId="127" priority="37" operator="between">
      <formula>10</formula>
      <formula>9999.999</formula>
    </cfRule>
    <cfRule type="cellIs" dxfId="126" priority="38" operator="between">
      <formula>1</formula>
      <formula>9.999</formula>
    </cfRule>
    <cfRule type="cellIs" dxfId="125" priority="39" operator="between">
      <formula>0.1</formula>
      <formula>0.999</formula>
    </cfRule>
  </conditionalFormatting>
  <conditionalFormatting sqref="N5:O58">
    <cfRule type="cellIs" dxfId="124" priority="41" operator="between">
      <formula>1</formula>
      <formula>9.999</formula>
    </cfRule>
    <cfRule type="cellIs" dxfId="123" priority="42" operator="lessThan">
      <formula>0.1</formula>
    </cfRule>
    <cfRule type="cellIs" dxfId="122" priority="43" operator="between">
      <formula>0.1</formula>
      <formula>0.999</formula>
    </cfRule>
    <cfRule type="cellIs" dxfId="121" priority="44" operator="between">
      <formula>10</formula>
      <formula>9999.999</formula>
    </cfRule>
    <cfRule type="cellIs" dxfId="120" priority="45" operator="greaterThan">
      <formula>10000</formula>
    </cfRule>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6B110-8E01-4638-9919-60D7B952F7F3}">
  <sheetPr codeName="Sheet5">
    <tabColor theme="1"/>
  </sheetPr>
  <dimension ref="A1:O66"/>
  <sheetViews>
    <sheetView topLeftCell="B1" workbookViewId="0">
      <selection activeCell="F18" sqref="F18"/>
    </sheetView>
  </sheetViews>
  <sheetFormatPr defaultColWidth="14.85546875" defaultRowHeight="12.75" x14ac:dyDescent="0.2"/>
  <cols>
    <col min="1" max="1" width="7.28515625" style="1" hidden="1" customWidth="1"/>
    <col min="2" max="2" width="40.85546875" style="1" customWidth="1"/>
    <col min="3" max="3" width="29" style="1" customWidth="1"/>
    <col min="4" max="4" width="9.85546875" style="13" customWidth="1"/>
    <col min="5" max="5" width="12.28515625" style="13" customWidth="1"/>
    <col min="6" max="6" width="14.42578125" style="1" customWidth="1"/>
    <col min="7" max="7" width="20" style="1" bestFit="1" customWidth="1"/>
    <col min="8" max="8" width="13.140625" style="1" customWidth="1"/>
    <col min="9" max="9" width="17" style="1" customWidth="1"/>
    <col min="10" max="10" width="14" style="1" customWidth="1"/>
    <col min="11" max="11" width="16.42578125" style="1" customWidth="1"/>
    <col min="12" max="12" width="14.28515625" style="1" customWidth="1"/>
    <col min="13" max="13" width="16.7109375" style="1" customWidth="1"/>
    <col min="14" max="14" width="13.28515625" style="1" customWidth="1"/>
    <col min="15" max="15" width="15.42578125" style="1" customWidth="1"/>
    <col min="16" max="16384" width="14.85546875" style="1"/>
  </cols>
  <sheetData>
    <row r="1" spans="1:15" ht="12.75" customHeight="1" x14ac:dyDescent="0.2">
      <c r="D1" s="521" t="s">
        <v>124</v>
      </c>
      <c r="E1" s="521"/>
      <c r="F1" s="522" t="s">
        <v>174</v>
      </c>
      <c r="G1" s="523"/>
      <c r="H1" s="522" t="s">
        <v>175</v>
      </c>
      <c r="I1" s="523"/>
      <c r="J1" s="516" t="s">
        <v>176</v>
      </c>
      <c r="K1" s="516"/>
      <c r="L1" s="516" t="s">
        <v>177</v>
      </c>
      <c r="M1" s="516"/>
      <c r="N1" s="516" t="s">
        <v>178</v>
      </c>
      <c r="O1" s="516"/>
    </row>
    <row r="2" spans="1:15" x14ac:dyDescent="0.2">
      <c r="B2" s="287"/>
      <c r="D2" s="521"/>
      <c r="E2" s="521"/>
      <c r="F2" s="524" t="s">
        <v>179</v>
      </c>
      <c r="G2" s="525"/>
      <c r="H2" s="524" t="s">
        <v>179</v>
      </c>
      <c r="I2" s="525"/>
      <c r="J2" s="516"/>
      <c r="K2" s="516"/>
      <c r="L2" s="516"/>
      <c r="M2" s="516"/>
      <c r="N2" s="516"/>
      <c r="O2" s="516"/>
    </row>
    <row r="3" spans="1:15" ht="38.25" x14ac:dyDescent="0.2">
      <c r="A3" s="1" t="s">
        <v>180</v>
      </c>
      <c r="B3" s="286" t="s">
        <v>131</v>
      </c>
      <c r="C3" s="286" t="s">
        <v>118</v>
      </c>
      <c r="D3" s="299" t="s">
        <v>133</v>
      </c>
      <c r="E3" s="299" t="s">
        <v>134</v>
      </c>
      <c r="F3" s="258" t="s">
        <v>181</v>
      </c>
      <c r="G3" s="245" t="s">
        <v>182</v>
      </c>
      <c r="H3" s="300" t="s">
        <v>183</v>
      </c>
      <c r="I3" s="245" t="s">
        <v>184</v>
      </c>
      <c r="J3" s="306" t="s">
        <v>185</v>
      </c>
      <c r="K3" s="306" t="s">
        <v>186</v>
      </c>
      <c r="L3" s="306" t="s">
        <v>187</v>
      </c>
      <c r="M3" s="306" t="s">
        <v>188</v>
      </c>
      <c r="N3" s="306" t="s">
        <v>189</v>
      </c>
      <c r="O3" s="306" t="s">
        <v>190</v>
      </c>
    </row>
    <row r="4" spans="1:15" ht="15" x14ac:dyDescent="0.2">
      <c r="A4" s="266">
        <v>1</v>
      </c>
      <c r="B4" s="262" t="s">
        <v>149</v>
      </c>
      <c r="C4" s="248" t="s">
        <v>52</v>
      </c>
      <c r="D4" s="272">
        <v>250</v>
      </c>
      <c r="E4" s="272">
        <v>250</v>
      </c>
      <c r="F4" s="256"/>
      <c r="G4" s="256"/>
      <c r="H4" s="256">
        <v>4.5129999999999997E-3</v>
      </c>
      <c r="I4" s="256">
        <v>2.2560000000000002E-3</v>
      </c>
      <c r="J4" s="260">
        <f>IF(Dermal_Exp[[#This Row],[Worker Type]]&lt;&gt;"",(Dermal_Exp[[#This Row],[High-End Exposure to Liquid]]+Dermal_Exp[[#This Row],[High-End Exposure to Solids]]),"Not Assessed")</f>
        <v>4.5129999999999997E-3</v>
      </c>
      <c r="K4" s="260">
        <f>IF(Dermal_Exp[[#This Row],[Worker Type]]&lt;&gt;"",(Dermal_Exp[[#This Row],[ Central Tendency Exposure to Liquids]]+Dermal_Exp[[#This Row],[Central Tendency  Exposure to Solids]]),"Not Assessed")</f>
        <v>2.2560000000000002E-3</v>
      </c>
      <c r="L4" s="259">
        <f>IFERROR(Dermal_Exp[[#This Row],[High-End AD (mg/kg-day)]]*IF(Dermal_Exp[[#This Row],[ED_High-End]]&gt;EFID,EFID,Dermal_Exp[[#This Row],[ED_High-End]])/ID,"Not Assessed")</f>
        <v>3.3095333333333326E-3</v>
      </c>
      <c r="M4" s="259">
        <f>IFERROR(Dermal_Exp[[#This Row],[Central Tendency AD (mg/kg-day)]]*IF(Dermal_Exp[[#This Row],[ED_Central Tendency]]&gt;EFID,EFID,Dermal_Exp[[#This Row],[ED_Central Tendency]])/ID,"Not Assessed")</f>
        <v>1.6544000000000001E-3</v>
      </c>
      <c r="N4" s="261">
        <f>IFERROR(Dermal_Exp[[#This Row],[High-End AD (mg/kg-day)]]*Dermal_Exp[[#This Row],[ED_High-End]]*WY_high/(365*WY_high),"Not Assessed")</f>
        <v>3.0910958904109588E-3</v>
      </c>
      <c r="O4" s="261">
        <f>IFERROR(Dermal_Exp[[#This Row],[Central Tendency AD (mg/kg-day)]]*Dermal_Exp[[#This Row],[ED_Central Tendency]]*WY_mid/(365*WY_mid),"Not Assessed")</f>
        <v>1.5452054794520549E-3</v>
      </c>
    </row>
    <row r="5" spans="1:15" ht="15" x14ac:dyDescent="0.2">
      <c r="A5" s="266">
        <v>1</v>
      </c>
      <c r="B5" s="262" t="s">
        <v>149</v>
      </c>
      <c r="C5" s="248" t="s">
        <v>96</v>
      </c>
      <c r="D5" s="272">
        <v>250</v>
      </c>
      <c r="E5" s="272">
        <v>250</v>
      </c>
      <c r="F5" s="256"/>
      <c r="G5" s="256"/>
      <c r="H5" s="249">
        <v>4.1479999999999998E-3</v>
      </c>
      <c r="I5" s="249">
        <v>2.0739999999999999E-3</v>
      </c>
      <c r="J5" s="260">
        <f>IF(Dermal_Exp[[#This Row],[Worker Type]]&lt;&gt;"",(Dermal_Exp[[#This Row],[High-End Exposure to Liquid]]+Dermal_Exp[[#This Row],[High-End Exposure to Solids]]),"Not Assessed")</f>
        <v>4.1479999999999998E-3</v>
      </c>
      <c r="K5" s="260">
        <f>IF(Dermal_Exp[[#This Row],[Worker Type]]&lt;&gt;"",(Dermal_Exp[[#This Row],[ Central Tendency Exposure to Liquids]]+Dermal_Exp[[#This Row],[Central Tendency  Exposure to Solids]]),"Not Assessed")</f>
        <v>2.0739999999999999E-3</v>
      </c>
      <c r="L5" s="259">
        <f>IFERROR(Dermal_Exp[[#This Row],[High-End AD (mg/kg-day)]]*IF(Dermal_Exp[[#This Row],[ED_High-End]]&gt;EFID,EFID,Dermal_Exp[[#This Row],[ED_High-End]])/ID,"Not Assessed")</f>
        <v>3.0418666666666662E-3</v>
      </c>
      <c r="M5" s="259">
        <f>IFERROR(Dermal_Exp[[#This Row],[Central Tendency AD (mg/kg-day)]]*IF(Dermal_Exp[[#This Row],[ED_Central Tendency]]&gt;EFID,EFID,Dermal_Exp[[#This Row],[ED_Central Tendency]])/ID,"Not Assessed")</f>
        <v>1.5209333333333331E-3</v>
      </c>
      <c r="N5" s="261">
        <f>IFERROR(Dermal_Exp[[#This Row],[High-End AD (mg/kg-day)]]*Dermal_Exp[[#This Row],[ED_High-End]]*WY_high/(365*WY_high),"Not Assessed")</f>
        <v>2.8410958904109586E-3</v>
      </c>
      <c r="O5" s="261">
        <f>IFERROR(Dermal_Exp[[#This Row],[Central Tendency AD (mg/kg-day)]]*Dermal_Exp[[#This Row],[ED_Central Tendency]]*WY_mid/(365*WY_mid),"Not Assessed")</f>
        <v>1.4205479452054793E-3</v>
      </c>
    </row>
    <row r="6" spans="1:15" ht="15" x14ac:dyDescent="0.2">
      <c r="A6" s="266">
        <v>1</v>
      </c>
      <c r="B6" s="262" t="s">
        <v>149</v>
      </c>
      <c r="C6" s="248" t="s">
        <v>69</v>
      </c>
      <c r="D6" s="272">
        <v>250</v>
      </c>
      <c r="E6" s="272">
        <v>250</v>
      </c>
      <c r="F6" s="256"/>
      <c r="G6" s="256"/>
      <c r="H6" s="249">
        <v>1.12885E-3</v>
      </c>
      <c r="I6" s="249">
        <v>1.12885E-3</v>
      </c>
      <c r="J6" s="260">
        <f>IF(Dermal_Exp[[#This Row],[Worker Type]]&lt;&gt;"",(Dermal_Exp[[#This Row],[High-End Exposure to Liquid]]+Dermal_Exp[[#This Row],[High-End Exposure to Solids]]),"Not Assessed")</f>
        <v>1.12885E-3</v>
      </c>
      <c r="K6" s="288">
        <f>IF(Dermal_Exp[[#This Row],[Worker Type]]&lt;&gt;"",(Dermal_Exp[[#This Row],[ Central Tendency Exposure to Liquids]]+Dermal_Exp[[#This Row],[Central Tendency  Exposure to Solids]]),"Not Assessed")</f>
        <v>1.12885E-3</v>
      </c>
      <c r="L6" s="259">
        <f>IFERROR(Dermal_Exp[[#This Row],[High-End AD (mg/kg-day)]]*IF(Dermal_Exp[[#This Row],[ED_High-End]]&gt;EFID,EFID,Dermal_Exp[[#This Row],[ED_High-End]])/ID,"Not Assessed")</f>
        <v>8.2782333333333337E-4</v>
      </c>
      <c r="M6" s="259">
        <f>IFERROR(Dermal_Exp[[#This Row],[Central Tendency AD (mg/kg-day)]]*IF(Dermal_Exp[[#This Row],[ED_Central Tendency]]&gt;EFID,EFID,Dermal_Exp[[#This Row],[ED_Central Tendency]])/ID,"Not Assessed")</f>
        <v>8.2782333333333337E-4</v>
      </c>
      <c r="N6" s="261">
        <f>IFERROR(Dermal_Exp[[#This Row],[High-End AD (mg/kg-day)]]*Dermal_Exp[[#This Row],[ED_High-End]]*WY_high/(365*WY_high),"Not Assessed")</f>
        <v>7.7318493150684941E-4</v>
      </c>
      <c r="O6" s="256">
        <f>IFERROR(Dermal_Exp[[#This Row],[Central Tendency AD (mg/kg-day)]]*Dermal_Exp[[#This Row],[ED_Central Tendency]]*WY_mid/(365*WY_mid),"Not Assessed")</f>
        <v>7.7318493150684941E-4</v>
      </c>
    </row>
    <row r="7" spans="1:15" ht="15" x14ac:dyDescent="0.2">
      <c r="A7" s="266">
        <v>1</v>
      </c>
      <c r="B7" s="262" t="s">
        <v>155</v>
      </c>
      <c r="C7" s="248" t="s">
        <v>52</v>
      </c>
      <c r="D7" s="272">
        <v>250</v>
      </c>
      <c r="E7" s="275">
        <v>208</v>
      </c>
      <c r="F7" s="256"/>
      <c r="G7" s="256"/>
      <c r="H7" s="249">
        <v>4.5129999999999997E-3</v>
      </c>
      <c r="I7" s="249">
        <v>2.2560000000000002E-3</v>
      </c>
      <c r="J7" s="260">
        <f>IF(Dermal_Exp[[#This Row],[Worker Type]]&lt;&gt;"",(Dermal_Exp[[#This Row],[High-End Exposure to Liquid]]+Dermal_Exp[[#This Row],[High-End Exposure to Solids]]),"Not Assessed")</f>
        <v>4.5129999999999997E-3</v>
      </c>
      <c r="K7" s="260">
        <f>IF(Dermal_Exp[[#This Row],[Worker Type]]&lt;&gt;"",(Dermal_Exp[[#This Row],[ Central Tendency Exposure to Liquids]]+Dermal_Exp[[#This Row],[Central Tendency  Exposure to Solids]]),"Not Assessed")</f>
        <v>2.2560000000000002E-3</v>
      </c>
      <c r="L7" s="259">
        <f>IFERROR(Dermal_Exp[[#This Row],[High-End AD (mg/kg-day)]]*IF(Dermal_Exp[[#This Row],[ED_High-End]]&gt;EFID,EFID,Dermal_Exp[[#This Row],[ED_High-End]])/ID,"Not Assessed")</f>
        <v>3.3095333333333326E-3</v>
      </c>
      <c r="M7" s="259">
        <f>IFERROR(Dermal_Exp[[#This Row],[Central Tendency AD (mg/kg-day)]]*IF(Dermal_Exp[[#This Row],[ED_Central Tendency]]&gt;EFID,EFID,Dermal_Exp[[#This Row],[ED_Central Tendency]])/ID,"Not Assessed")</f>
        <v>1.6544000000000001E-3</v>
      </c>
      <c r="N7" s="261">
        <f>IFERROR(Dermal_Exp[[#This Row],[High-End AD (mg/kg-day)]]*Dermal_Exp[[#This Row],[ED_High-End]]*WY_high/(365*WY_high),"Not Assessed")</f>
        <v>3.0910958904109588E-3</v>
      </c>
      <c r="O7" s="261">
        <f>IFERROR(Dermal_Exp[[#This Row],[Central Tendency AD (mg/kg-day)]]*Dermal_Exp[[#This Row],[ED_Central Tendency]]*WY_mid/(365*WY_mid),"Not Assessed")</f>
        <v>1.2856109589041097E-3</v>
      </c>
    </row>
    <row r="8" spans="1:15" ht="15" x14ac:dyDescent="0.2">
      <c r="A8" s="266">
        <v>1</v>
      </c>
      <c r="B8" s="262" t="s">
        <v>155</v>
      </c>
      <c r="C8" s="248" t="s">
        <v>96</v>
      </c>
      <c r="D8" s="272">
        <v>250</v>
      </c>
      <c r="E8" s="275">
        <v>208</v>
      </c>
      <c r="F8" s="256"/>
      <c r="G8" s="380"/>
      <c r="H8" s="249">
        <v>4.1479999999999998E-3</v>
      </c>
      <c r="I8" s="249">
        <v>2.0739999999999999E-3</v>
      </c>
      <c r="J8" s="260">
        <f>IF(Dermal_Exp[[#This Row],[Worker Type]]&lt;&gt;"",(Dermal_Exp[[#This Row],[High-End Exposure to Liquid]]+Dermal_Exp[[#This Row],[High-End Exposure to Solids]]),"Not Assessed")</f>
        <v>4.1479999999999998E-3</v>
      </c>
      <c r="K8" s="256">
        <f>IF(Dermal_Exp[[#This Row],[Worker Type]]&lt;&gt;"",(Dermal_Exp[[#This Row],[ Central Tendency Exposure to Liquids]]+Dermal_Exp[[#This Row],[Central Tendency  Exposure to Solids]]),"Not Assessed")</f>
        <v>2.0739999999999999E-3</v>
      </c>
      <c r="L8" s="259">
        <f>IFERROR(Dermal_Exp[[#This Row],[High-End AD (mg/kg-day)]]*IF(Dermal_Exp[[#This Row],[ED_High-End]]&gt;EFID,EFID,Dermal_Exp[[#This Row],[ED_High-End]])/ID,"Not Assessed")</f>
        <v>3.0418666666666662E-3</v>
      </c>
      <c r="M8" s="259">
        <f>IFERROR(Dermal_Exp[[#This Row],[Central Tendency AD (mg/kg-day)]]*IF(Dermal_Exp[[#This Row],[ED_Central Tendency]]&gt;EFID,EFID,Dermal_Exp[[#This Row],[ED_Central Tendency]])/ID,"Not Assessed")</f>
        <v>1.5209333333333331E-3</v>
      </c>
      <c r="N8" s="273">
        <f>IFERROR(Dermal_Exp[[#This Row],[High-End AD (mg/kg-day)]]*Dermal_Exp[[#This Row],[ED_High-End]]*WY_high/(365*WY_high),"Not Assessed")</f>
        <v>2.8410958904109586E-3</v>
      </c>
      <c r="O8" s="273">
        <f>IFERROR(Dermal_Exp[[#This Row],[Central Tendency AD (mg/kg-day)]]*Dermal_Exp[[#This Row],[ED_Central Tendency]]*WY_mid/(365*WY_mid),"Not Assessed")</f>
        <v>1.1818958904109588E-3</v>
      </c>
    </row>
    <row r="9" spans="1:15" ht="15" x14ac:dyDescent="0.2">
      <c r="A9" s="266">
        <v>1</v>
      </c>
      <c r="B9" s="262" t="s">
        <v>155</v>
      </c>
      <c r="C9" s="248" t="s">
        <v>69</v>
      </c>
      <c r="D9" s="272">
        <v>250</v>
      </c>
      <c r="E9" s="272">
        <v>208</v>
      </c>
      <c r="F9" s="256"/>
      <c r="G9" s="256"/>
      <c r="H9" s="249">
        <v>1.12885E-3</v>
      </c>
      <c r="I9" s="249">
        <v>1.12885E-3</v>
      </c>
      <c r="J9" s="260">
        <f>IF(Dermal_Exp[[#This Row],[Worker Type]]&lt;&gt;"",(Dermal_Exp[[#This Row],[High-End Exposure to Liquid]]+Dermal_Exp[[#This Row],[High-End Exposure to Solids]]),"Not Assessed")</f>
        <v>1.12885E-3</v>
      </c>
      <c r="K9" s="288">
        <f>IF(Dermal_Exp[[#This Row],[Worker Type]]&lt;&gt;"",(Dermal_Exp[[#This Row],[ Central Tendency Exposure to Liquids]]+Dermal_Exp[[#This Row],[Central Tendency  Exposure to Solids]]),"Not Assessed")</f>
        <v>1.12885E-3</v>
      </c>
      <c r="L9" s="259">
        <f>IFERROR(Dermal_Exp[[#This Row],[High-End AD (mg/kg-day)]]*IF(Dermal_Exp[[#This Row],[ED_High-End]]&gt;EFID,EFID,Dermal_Exp[[#This Row],[ED_High-End]])/ID,"Not Assessed")</f>
        <v>8.2782333333333337E-4</v>
      </c>
      <c r="M9" s="259">
        <f>IFERROR(Dermal_Exp[[#This Row],[Central Tendency AD (mg/kg-day)]]*IF(Dermal_Exp[[#This Row],[ED_Central Tendency]]&gt;EFID,EFID,Dermal_Exp[[#This Row],[ED_Central Tendency]])/ID,"Not Assessed")</f>
        <v>8.2782333333333337E-4</v>
      </c>
      <c r="N9" s="256">
        <f>IFERROR(Dermal_Exp[[#This Row],[High-End AD (mg/kg-day)]]*Dermal_Exp[[#This Row],[ED_High-End]]*WY_high/(365*WY_high),"Not Assessed")</f>
        <v>7.7318493150684941E-4</v>
      </c>
      <c r="O9" s="256">
        <f>IFERROR(Dermal_Exp[[#This Row],[Central Tendency AD (mg/kg-day)]]*Dermal_Exp[[#This Row],[ED_Central Tendency]]*WY_mid/(365*WY_mid),"Not Assessed")</f>
        <v>6.432898630136986E-4</v>
      </c>
    </row>
    <row r="10" spans="1:15" ht="15" x14ac:dyDescent="0.2">
      <c r="A10" s="267">
        <v>2</v>
      </c>
      <c r="B10" s="263" t="s">
        <v>156</v>
      </c>
      <c r="C10" s="248" t="s">
        <v>52</v>
      </c>
      <c r="D10" s="11">
        <v>250</v>
      </c>
      <c r="E10" s="11">
        <v>250</v>
      </c>
      <c r="F10" s="256"/>
      <c r="G10" s="256"/>
      <c r="H10" s="249">
        <v>4.5129999999999997E-3</v>
      </c>
      <c r="I10" s="249">
        <v>2.2560000000000002E-3</v>
      </c>
      <c r="J10" s="260">
        <f>IF(Dermal_Exp[[#This Row],[Worker Type]]&lt;&gt;"",(Dermal_Exp[[#This Row],[High-End Exposure to Liquid]]+Dermal_Exp[[#This Row],[High-End Exposure to Solids]]),"Not Assessed")</f>
        <v>4.5129999999999997E-3</v>
      </c>
      <c r="K10" s="256">
        <f>IF(Dermal_Exp[[#This Row],[Worker Type]]&lt;&gt;"",(Dermal_Exp[[#This Row],[ Central Tendency Exposure to Liquids]]+Dermal_Exp[[#This Row],[Central Tendency  Exposure to Solids]]),"Not Assessed")</f>
        <v>2.2560000000000002E-3</v>
      </c>
      <c r="L10" s="259">
        <f>IFERROR(Dermal_Exp[[#This Row],[High-End AD (mg/kg-day)]]*IF(Dermal_Exp[[#This Row],[ED_High-End]]&gt;EFID,EFID,Dermal_Exp[[#This Row],[ED_High-End]])/ID,"Not Assessed")</f>
        <v>3.3095333333333326E-3</v>
      </c>
      <c r="M10" s="259">
        <f>IFERROR(Dermal_Exp[[#This Row],[Central Tendency AD (mg/kg-day)]]*IF(Dermal_Exp[[#This Row],[ED_Central Tendency]]&gt;EFID,EFID,Dermal_Exp[[#This Row],[ED_Central Tendency]])/ID,"Not Assessed")</f>
        <v>1.6544000000000001E-3</v>
      </c>
      <c r="N10" s="273">
        <f>IFERROR(Dermal_Exp[[#This Row],[High-End AD (mg/kg-day)]]*Dermal_Exp[[#This Row],[ED_High-End]]*WY_high/(365*WY_high),"Not Assessed")</f>
        <v>3.0910958904109588E-3</v>
      </c>
      <c r="O10" s="273">
        <f>IFERROR(Dermal_Exp[[#This Row],[Central Tendency AD (mg/kg-day)]]*Dermal_Exp[[#This Row],[ED_Central Tendency]]*WY_mid/(365*WY_mid),"Not Assessed")</f>
        <v>1.5452054794520549E-3</v>
      </c>
    </row>
    <row r="11" spans="1:15" ht="15" x14ac:dyDescent="0.2">
      <c r="A11" s="267">
        <v>2</v>
      </c>
      <c r="B11" s="263" t="s">
        <v>156</v>
      </c>
      <c r="C11" s="248" t="s">
        <v>96</v>
      </c>
      <c r="D11" s="11">
        <v>250</v>
      </c>
      <c r="E11" s="11">
        <v>250</v>
      </c>
      <c r="F11" s="256"/>
      <c r="G11" s="256"/>
      <c r="H11" s="249">
        <v>4.1479999999999998E-3</v>
      </c>
      <c r="I11" s="249">
        <v>2.0739999999999999E-3</v>
      </c>
      <c r="J11" s="260">
        <f>IF(Dermal_Exp[[#This Row],[Worker Type]]&lt;&gt;"",(Dermal_Exp[[#This Row],[High-End Exposure to Liquid]]+Dermal_Exp[[#This Row],[High-End Exposure to Solids]]),"Not Assessed")</f>
        <v>4.1479999999999998E-3</v>
      </c>
      <c r="K11" s="256">
        <f>IF(Dermal_Exp[[#This Row],[Worker Type]]&lt;&gt;"",(Dermal_Exp[[#This Row],[ Central Tendency Exposure to Liquids]]+Dermal_Exp[[#This Row],[Central Tendency  Exposure to Solids]]),"Not Assessed")</f>
        <v>2.0739999999999999E-3</v>
      </c>
      <c r="L11" s="259">
        <f>IFERROR(Dermal_Exp[[#This Row],[High-End AD (mg/kg-day)]]*IF(Dermal_Exp[[#This Row],[ED_High-End]]&gt;EFID,EFID,Dermal_Exp[[#This Row],[ED_High-End]])/ID,"Not Assessed")</f>
        <v>3.0418666666666662E-3</v>
      </c>
      <c r="M11" s="259">
        <f>IFERROR(Dermal_Exp[[#This Row],[Central Tendency AD (mg/kg-day)]]*IF(Dermal_Exp[[#This Row],[ED_Central Tendency]]&gt;EFID,EFID,Dermal_Exp[[#This Row],[ED_Central Tendency]])/ID,"Not Assessed")</f>
        <v>1.5209333333333331E-3</v>
      </c>
      <c r="N11" s="256">
        <f>IFERROR(Dermal_Exp[[#This Row],[High-End AD (mg/kg-day)]]*Dermal_Exp[[#This Row],[ED_High-End]]*WY_high/(365*WY_high),"Not Assessed")</f>
        <v>2.8410958904109586E-3</v>
      </c>
      <c r="O11" s="256">
        <f>IFERROR(Dermal_Exp[[#This Row],[Central Tendency AD (mg/kg-day)]]*Dermal_Exp[[#This Row],[ED_Central Tendency]]*WY_mid/(365*WY_mid),"Not Assessed")</f>
        <v>1.4205479452054793E-3</v>
      </c>
    </row>
    <row r="12" spans="1:15" ht="15" x14ac:dyDescent="0.2">
      <c r="A12" s="267">
        <v>2</v>
      </c>
      <c r="B12" s="263" t="s">
        <v>156</v>
      </c>
      <c r="C12" s="248" t="s">
        <v>69</v>
      </c>
      <c r="D12" s="272">
        <v>250</v>
      </c>
      <c r="E12" s="272">
        <v>250</v>
      </c>
      <c r="F12" s="256"/>
      <c r="G12" s="256"/>
      <c r="H12" s="249">
        <v>1.12885E-3</v>
      </c>
      <c r="I12" s="249">
        <v>1.12885E-3</v>
      </c>
      <c r="J12" s="260">
        <f>IF(Dermal_Exp[[#This Row],[Worker Type]]&lt;&gt;"",(Dermal_Exp[[#This Row],[High-End Exposure to Liquid]]+Dermal_Exp[[#This Row],[High-End Exposure to Solids]]),"Not Assessed")</f>
        <v>1.12885E-3</v>
      </c>
      <c r="K12" s="288">
        <f>IF(Dermal_Exp[[#This Row],[Worker Type]]&lt;&gt;"",(Dermal_Exp[[#This Row],[ Central Tendency Exposure to Liquids]]+Dermal_Exp[[#This Row],[Central Tendency  Exposure to Solids]]),"Not Assessed")</f>
        <v>1.12885E-3</v>
      </c>
      <c r="L12" s="259">
        <f>IFERROR(Dermal_Exp[[#This Row],[High-End AD (mg/kg-day)]]*IF(Dermal_Exp[[#This Row],[ED_High-End]]&gt;EFID,EFID,Dermal_Exp[[#This Row],[ED_High-End]])/ID,"Not Assessed")</f>
        <v>8.2782333333333337E-4</v>
      </c>
      <c r="M12" s="259">
        <f>IFERROR(Dermal_Exp[[#This Row],[Central Tendency AD (mg/kg-day)]]*IF(Dermal_Exp[[#This Row],[ED_Central Tendency]]&gt;EFID,EFID,Dermal_Exp[[#This Row],[ED_Central Tendency]])/ID,"Not Assessed")</f>
        <v>8.2782333333333337E-4</v>
      </c>
      <c r="N12" s="256">
        <f>IFERROR(Dermal_Exp[[#This Row],[High-End AD (mg/kg-day)]]*Dermal_Exp[[#This Row],[ED_High-End]]*WY_high/(365*WY_high),"Not Assessed")</f>
        <v>7.7318493150684941E-4</v>
      </c>
      <c r="O12" s="256">
        <f>IFERROR(Dermal_Exp[[#This Row],[Central Tendency AD (mg/kg-day)]]*Dermal_Exp[[#This Row],[ED_Central Tendency]]*WY_mid/(365*WY_mid),"Not Assessed")</f>
        <v>7.7318493150684941E-4</v>
      </c>
    </row>
    <row r="13" spans="1:15" ht="15" x14ac:dyDescent="0.2">
      <c r="A13" s="267">
        <v>2</v>
      </c>
      <c r="B13" s="263" t="s">
        <v>157</v>
      </c>
      <c r="C13" s="248" t="s">
        <v>52</v>
      </c>
      <c r="D13" s="11">
        <v>250</v>
      </c>
      <c r="E13" s="11">
        <v>250</v>
      </c>
      <c r="F13" s="256"/>
      <c r="G13" s="256"/>
      <c r="H13" s="249">
        <v>4.5129999999999997E-3</v>
      </c>
      <c r="I13" s="249">
        <v>2.2560000000000002E-3</v>
      </c>
      <c r="J13" s="260">
        <f>IF(Dermal_Exp[[#This Row],[Worker Type]]&lt;&gt;"",(Dermal_Exp[[#This Row],[High-End Exposure to Liquid]]+Dermal_Exp[[#This Row],[High-End Exposure to Solids]]),"Not Assessed")</f>
        <v>4.5129999999999997E-3</v>
      </c>
      <c r="K13" s="256">
        <f>IF(Dermal_Exp[[#This Row],[Worker Type]]&lt;&gt;"",(Dermal_Exp[[#This Row],[ Central Tendency Exposure to Liquids]]+Dermal_Exp[[#This Row],[Central Tendency  Exposure to Solids]]),"Not Assessed")</f>
        <v>2.2560000000000002E-3</v>
      </c>
      <c r="L13" s="259">
        <f>IFERROR(Dermal_Exp[[#This Row],[High-End AD (mg/kg-day)]]*IF(Dermal_Exp[[#This Row],[ED_High-End]]&gt;EFID,EFID,Dermal_Exp[[#This Row],[ED_High-End]])/ID,"Not Assessed")</f>
        <v>3.3095333333333326E-3</v>
      </c>
      <c r="M13" s="259">
        <f>IFERROR(Dermal_Exp[[#This Row],[Central Tendency AD (mg/kg-day)]]*IF(Dermal_Exp[[#This Row],[ED_Central Tendency]]&gt;EFID,EFID,Dermal_Exp[[#This Row],[ED_Central Tendency]])/ID,"Not Assessed")</f>
        <v>1.6544000000000001E-3</v>
      </c>
      <c r="N13" s="256">
        <f>IFERROR(Dermal_Exp[[#This Row],[High-End AD (mg/kg-day)]]*Dermal_Exp[[#This Row],[ED_High-End]]*WY_high/(365*WY_high),"Not Assessed")</f>
        <v>3.0910958904109588E-3</v>
      </c>
      <c r="O13" s="256">
        <f>IFERROR(Dermal_Exp[[#This Row],[Central Tendency AD (mg/kg-day)]]*Dermal_Exp[[#This Row],[ED_Central Tendency]]*WY_mid/(365*WY_mid),"Not Assessed")</f>
        <v>1.5452054794520549E-3</v>
      </c>
    </row>
    <row r="14" spans="1:15" ht="15" x14ac:dyDescent="0.2">
      <c r="A14" s="267">
        <v>2</v>
      </c>
      <c r="B14" s="263" t="s">
        <v>157</v>
      </c>
      <c r="C14" s="248" t="s">
        <v>96</v>
      </c>
      <c r="D14" s="11">
        <v>250</v>
      </c>
      <c r="E14" s="11">
        <v>250</v>
      </c>
      <c r="F14" s="256"/>
      <c r="G14" s="256"/>
      <c r="H14" s="249">
        <v>4.1479999999999998E-3</v>
      </c>
      <c r="I14" s="249">
        <v>2.0739999999999999E-3</v>
      </c>
      <c r="J14" s="260">
        <f>IF(Dermal_Exp[[#This Row],[Worker Type]]&lt;&gt;"",(Dermal_Exp[[#This Row],[High-End Exposure to Liquid]]+Dermal_Exp[[#This Row],[High-End Exposure to Solids]]),"Not Assessed")</f>
        <v>4.1479999999999998E-3</v>
      </c>
      <c r="K14" s="256">
        <f>IF(Dermal_Exp[[#This Row],[Worker Type]]&lt;&gt;"",(Dermal_Exp[[#This Row],[ Central Tendency Exposure to Liquids]]+Dermal_Exp[[#This Row],[Central Tendency  Exposure to Solids]]),"Not Assessed")</f>
        <v>2.0739999999999999E-3</v>
      </c>
      <c r="L14" s="259">
        <f>IFERROR(Dermal_Exp[[#This Row],[High-End AD (mg/kg-day)]]*IF(Dermal_Exp[[#This Row],[ED_High-End]]&gt;EFID,EFID,Dermal_Exp[[#This Row],[ED_High-End]])/ID,"Not Assessed")</f>
        <v>3.0418666666666662E-3</v>
      </c>
      <c r="M14" s="259">
        <f>IFERROR(Dermal_Exp[[#This Row],[Central Tendency AD (mg/kg-day)]]*IF(Dermal_Exp[[#This Row],[ED_Central Tendency]]&gt;EFID,EFID,Dermal_Exp[[#This Row],[ED_Central Tendency]])/ID,"Not Assessed")</f>
        <v>1.5209333333333331E-3</v>
      </c>
      <c r="N14" s="273">
        <f>IFERROR(Dermal_Exp[[#This Row],[High-End AD (mg/kg-day)]]*Dermal_Exp[[#This Row],[ED_High-End]]*WY_high/(365*WY_high),"Not Assessed")</f>
        <v>2.8410958904109586E-3</v>
      </c>
      <c r="O14" s="273">
        <f>IFERROR(Dermal_Exp[[#This Row],[Central Tendency AD (mg/kg-day)]]*Dermal_Exp[[#This Row],[ED_Central Tendency]]*WY_mid/(365*WY_mid),"Not Assessed")</f>
        <v>1.4205479452054793E-3</v>
      </c>
    </row>
    <row r="15" spans="1:15" ht="15" x14ac:dyDescent="0.2">
      <c r="A15" s="267">
        <v>2</v>
      </c>
      <c r="B15" s="263" t="s">
        <v>157</v>
      </c>
      <c r="C15" s="248" t="s">
        <v>69</v>
      </c>
      <c r="D15" s="272">
        <v>250</v>
      </c>
      <c r="E15" s="272">
        <v>250</v>
      </c>
      <c r="F15" s="256"/>
      <c r="G15" s="256"/>
      <c r="H15" s="249">
        <v>1.12885E-3</v>
      </c>
      <c r="I15" s="249">
        <v>1.12885E-3</v>
      </c>
      <c r="J15" s="260">
        <f>IF(Dermal_Exp[[#This Row],[Worker Type]]&lt;&gt;"",(Dermal_Exp[[#This Row],[High-End Exposure to Liquid]]+Dermal_Exp[[#This Row],[High-End Exposure to Solids]]),"Not Assessed")</f>
        <v>1.12885E-3</v>
      </c>
      <c r="K15" s="288">
        <f>IF(Dermal_Exp[[#This Row],[Worker Type]]&lt;&gt;"",(Dermal_Exp[[#This Row],[ Central Tendency Exposure to Liquids]]+Dermal_Exp[[#This Row],[Central Tendency  Exposure to Solids]]),"Not Assessed")</f>
        <v>1.12885E-3</v>
      </c>
      <c r="L15" s="259">
        <f>IFERROR(Dermal_Exp[[#This Row],[High-End AD (mg/kg-day)]]*IF(Dermal_Exp[[#This Row],[ED_High-End]]&gt;EFID,EFID,Dermal_Exp[[#This Row],[ED_High-End]])/ID,"Not Assessed")</f>
        <v>8.2782333333333337E-4</v>
      </c>
      <c r="M15" s="259">
        <f>IFERROR(Dermal_Exp[[#This Row],[Central Tendency AD (mg/kg-day)]]*IF(Dermal_Exp[[#This Row],[ED_Central Tendency]]&gt;EFID,EFID,Dermal_Exp[[#This Row],[ED_Central Tendency]])/ID,"Not Assessed")</f>
        <v>8.2782333333333337E-4</v>
      </c>
      <c r="N15" s="256">
        <f>IFERROR(Dermal_Exp[[#This Row],[High-End AD (mg/kg-day)]]*Dermal_Exp[[#This Row],[ED_High-End]]*WY_high/(365*WY_high),"Not Assessed")</f>
        <v>7.7318493150684941E-4</v>
      </c>
      <c r="O15" s="256">
        <f>IFERROR(Dermal_Exp[[#This Row],[Central Tendency AD (mg/kg-day)]]*Dermal_Exp[[#This Row],[ED_Central Tendency]]*WY_mid/(365*WY_mid),"Not Assessed")</f>
        <v>7.7318493150684941E-4</v>
      </c>
    </row>
    <row r="16" spans="1:15" ht="30" x14ac:dyDescent="0.2">
      <c r="A16" s="267">
        <v>2</v>
      </c>
      <c r="B16" s="277" t="s">
        <v>158</v>
      </c>
      <c r="C16" s="248" t="s">
        <v>52</v>
      </c>
      <c r="D16" s="11">
        <v>250</v>
      </c>
      <c r="E16" s="11">
        <v>250</v>
      </c>
      <c r="F16" s="256"/>
      <c r="G16" s="256"/>
      <c r="H16" s="249">
        <v>4.5129999999999997E-3</v>
      </c>
      <c r="I16" s="249">
        <v>2.2560000000000002E-3</v>
      </c>
      <c r="J16" s="260">
        <f>IF(Dermal_Exp[[#This Row],[Worker Type]]&lt;&gt;"",(Dermal_Exp[[#This Row],[High-End Exposure to Liquid]]+Dermal_Exp[[#This Row],[High-End Exposure to Solids]]),"Not Assessed")</f>
        <v>4.5129999999999997E-3</v>
      </c>
      <c r="K16" s="256">
        <f>IF(Dermal_Exp[[#This Row],[Worker Type]]&lt;&gt;"",(Dermal_Exp[[#This Row],[ Central Tendency Exposure to Liquids]]+Dermal_Exp[[#This Row],[Central Tendency  Exposure to Solids]]),"Not Assessed")</f>
        <v>2.2560000000000002E-3</v>
      </c>
      <c r="L16" s="259">
        <f>IFERROR(Dermal_Exp[[#This Row],[High-End AD (mg/kg-day)]]*IF(Dermal_Exp[[#This Row],[ED_High-End]]&gt;EFID,EFID,Dermal_Exp[[#This Row],[ED_High-End]])/ID,"Not Assessed")</f>
        <v>3.3095333333333326E-3</v>
      </c>
      <c r="M16" s="259">
        <f>IFERROR(Dermal_Exp[[#This Row],[Central Tendency AD (mg/kg-day)]]*IF(Dermal_Exp[[#This Row],[ED_Central Tendency]]&gt;EFID,EFID,Dermal_Exp[[#This Row],[ED_Central Tendency]])/ID,"Not Assessed")</f>
        <v>1.6544000000000001E-3</v>
      </c>
      <c r="N16" s="256">
        <f>IFERROR(Dermal_Exp[[#This Row],[High-End AD (mg/kg-day)]]*Dermal_Exp[[#This Row],[ED_High-End]]*WY_high/(365*WY_high),"Not Assessed")</f>
        <v>3.0910958904109588E-3</v>
      </c>
      <c r="O16" s="256">
        <f>IFERROR(Dermal_Exp[[#This Row],[Central Tendency AD (mg/kg-day)]]*Dermal_Exp[[#This Row],[ED_Central Tendency]]*WY_mid/(365*WY_mid),"Not Assessed")</f>
        <v>1.5452054794520549E-3</v>
      </c>
    </row>
    <row r="17" spans="1:15" ht="30" x14ac:dyDescent="0.2">
      <c r="A17" s="267">
        <v>2</v>
      </c>
      <c r="B17" s="277" t="s">
        <v>158</v>
      </c>
      <c r="C17" s="248" t="s">
        <v>96</v>
      </c>
      <c r="D17" s="11">
        <v>250</v>
      </c>
      <c r="E17" s="11">
        <v>250</v>
      </c>
      <c r="F17" s="256"/>
      <c r="G17" s="256"/>
      <c r="H17" s="249">
        <v>4.1479999999999998E-3</v>
      </c>
      <c r="I17" s="249">
        <v>2.0739999999999999E-3</v>
      </c>
      <c r="J17" s="260">
        <f>IF(Dermal_Exp[[#This Row],[Worker Type]]&lt;&gt;"",(Dermal_Exp[[#This Row],[High-End Exposure to Liquid]]+Dermal_Exp[[#This Row],[High-End Exposure to Solids]]),"Not Assessed")</f>
        <v>4.1479999999999998E-3</v>
      </c>
      <c r="K17" s="256">
        <f>IF(Dermal_Exp[[#This Row],[Worker Type]]&lt;&gt;"",(Dermal_Exp[[#This Row],[ Central Tendency Exposure to Liquids]]+Dermal_Exp[[#This Row],[Central Tendency  Exposure to Solids]]),"Not Assessed")</f>
        <v>2.0739999999999999E-3</v>
      </c>
      <c r="L17" s="259">
        <f>IFERROR(Dermal_Exp[[#This Row],[High-End AD (mg/kg-day)]]*IF(Dermal_Exp[[#This Row],[ED_High-End]]&gt;EFID,EFID,Dermal_Exp[[#This Row],[ED_High-End]])/ID,"Not Assessed")</f>
        <v>3.0418666666666662E-3</v>
      </c>
      <c r="M17" s="259">
        <f>IFERROR(Dermal_Exp[[#This Row],[Central Tendency AD (mg/kg-day)]]*IF(Dermal_Exp[[#This Row],[ED_Central Tendency]]&gt;EFID,EFID,Dermal_Exp[[#This Row],[ED_Central Tendency]])/ID,"Not Assessed")</f>
        <v>1.5209333333333331E-3</v>
      </c>
      <c r="N17" s="256">
        <f>IFERROR(Dermal_Exp[[#This Row],[High-End AD (mg/kg-day)]]*Dermal_Exp[[#This Row],[ED_High-End]]*WY_high/(365*WY_high),"Not Assessed")</f>
        <v>2.8410958904109586E-3</v>
      </c>
      <c r="O17" s="256">
        <f>IFERROR(Dermal_Exp[[#This Row],[Central Tendency AD (mg/kg-day)]]*Dermal_Exp[[#This Row],[ED_Central Tendency]]*WY_mid/(365*WY_mid),"Not Assessed")</f>
        <v>1.4205479452054793E-3</v>
      </c>
    </row>
    <row r="18" spans="1:15" ht="30" x14ac:dyDescent="0.2">
      <c r="A18" s="267">
        <v>2</v>
      </c>
      <c r="B18" s="277" t="s">
        <v>158</v>
      </c>
      <c r="C18" s="248" t="s">
        <v>69</v>
      </c>
      <c r="D18" s="272">
        <v>250</v>
      </c>
      <c r="E18" s="272">
        <v>250</v>
      </c>
      <c r="F18" s="256"/>
      <c r="G18" s="256"/>
      <c r="H18" s="249">
        <v>1.12885E-3</v>
      </c>
      <c r="I18" s="249">
        <v>1.12885E-3</v>
      </c>
      <c r="J18" s="260">
        <f>IF(Dermal_Exp[[#This Row],[Worker Type]]&lt;&gt;"",(Dermal_Exp[[#This Row],[High-End Exposure to Liquid]]+Dermal_Exp[[#This Row],[High-End Exposure to Solids]]),"Not Assessed")</f>
        <v>1.12885E-3</v>
      </c>
      <c r="K18" s="288">
        <f>IF(Dermal_Exp[[#This Row],[Worker Type]]&lt;&gt;"",(Dermal_Exp[[#This Row],[ Central Tendency Exposure to Liquids]]+Dermal_Exp[[#This Row],[Central Tendency  Exposure to Solids]]),"Not Assessed")</f>
        <v>1.12885E-3</v>
      </c>
      <c r="L18" s="259">
        <f>IFERROR(Dermal_Exp[[#This Row],[High-End AD (mg/kg-day)]]*IF(Dermal_Exp[[#This Row],[ED_High-End]]&gt;EFID,EFID,Dermal_Exp[[#This Row],[ED_High-End]])/ID,"Not Assessed")</f>
        <v>8.2782333333333337E-4</v>
      </c>
      <c r="M18" s="259">
        <f>IFERROR(Dermal_Exp[[#This Row],[Central Tendency AD (mg/kg-day)]]*IF(Dermal_Exp[[#This Row],[ED_Central Tendency]]&gt;EFID,EFID,Dermal_Exp[[#This Row],[ED_Central Tendency]])/ID,"Not Assessed")</f>
        <v>8.2782333333333337E-4</v>
      </c>
      <c r="N18" s="256">
        <f>IFERROR(Dermal_Exp[[#This Row],[High-End AD (mg/kg-day)]]*Dermal_Exp[[#This Row],[ED_High-End]]*WY_high/(365*WY_high),"Not Assessed")</f>
        <v>7.7318493150684941E-4</v>
      </c>
      <c r="O18" s="256">
        <f>IFERROR(Dermal_Exp[[#This Row],[Central Tendency AD (mg/kg-day)]]*Dermal_Exp[[#This Row],[ED_Central Tendency]]*WY_mid/(365*WY_mid),"Not Assessed")</f>
        <v>7.7318493150684941E-4</v>
      </c>
    </row>
    <row r="19" spans="1:15" ht="15" x14ac:dyDescent="0.2">
      <c r="A19" s="267">
        <v>3</v>
      </c>
      <c r="B19" s="263" t="s">
        <v>159</v>
      </c>
      <c r="C19" s="248" t="s">
        <v>52</v>
      </c>
      <c r="D19" s="11">
        <v>250</v>
      </c>
      <c r="E19" s="11">
        <v>223</v>
      </c>
      <c r="F19" s="256"/>
      <c r="G19" s="256"/>
      <c r="H19" s="249">
        <v>4.5129999999999997E-3</v>
      </c>
      <c r="I19" s="249">
        <v>2.2560000000000002E-3</v>
      </c>
      <c r="J19" s="260">
        <f>IF(Dermal_Exp[[#This Row],[Worker Type]]&lt;&gt;"",(Dermal_Exp[[#This Row],[High-End Exposure to Liquid]]+Dermal_Exp[[#This Row],[High-End Exposure to Solids]]),"Not Assessed")</f>
        <v>4.5129999999999997E-3</v>
      </c>
      <c r="K19" s="256">
        <f>IF(Dermal_Exp[[#This Row],[Worker Type]]&lt;&gt;"",(Dermal_Exp[[#This Row],[ Central Tendency Exposure to Liquids]]+Dermal_Exp[[#This Row],[Central Tendency  Exposure to Solids]]),"Not Assessed")</f>
        <v>2.2560000000000002E-3</v>
      </c>
      <c r="L19" s="259">
        <f>IFERROR(Dermal_Exp[[#This Row],[High-End AD (mg/kg-day)]]*IF(Dermal_Exp[[#This Row],[ED_High-End]]&gt;EFID,EFID,Dermal_Exp[[#This Row],[ED_High-End]])/ID,"Not Assessed")</f>
        <v>3.3095333333333326E-3</v>
      </c>
      <c r="M19" s="259">
        <f>IFERROR(Dermal_Exp[[#This Row],[Central Tendency AD (mg/kg-day)]]*IF(Dermal_Exp[[#This Row],[ED_Central Tendency]]&gt;EFID,EFID,Dermal_Exp[[#This Row],[ED_Central Tendency]])/ID,"Not Assessed")</f>
        <v>1.6544000000000001E-3</v>
      </c>
      <c r="N19" s="273">
        <f>IFERROR(Dermal_Exp[[#This Row],[High-End AD (mg/kg-day)]]*Dermal_Exp[[#This Row],[ED_High-End]]*WY_high/(365*WY_high),"Not Assessed")</f>
        <v>3.0910958904109588E-3</v>
      </c>
      <c r="O19" s="273">
        <f>IFERROR(Dermal_Exp[[#This Row],[Central Tendency AD (mg/kg-day)]]*Dermal_Exp[[#This Row],[ED_Central Tendency]]*WY_mid/(365*WY_mid),"Not Assessed")</f>
        <v>1.3783232876712331E-3</v>
      </c>
    </row>
    <row r="20" spans="1:15" ht="15" x14ac:dyDescent="0.2">
      <c r="A20" s="267">
        <v>3</v>
      </c>
      <c r="B20" s="263" t="s">
        <v>159</v>
      </c>
      <c r="C20" s="248" t="s">
        <v>96</v>
      </c>
      <c r="D20" s="11">
        <v>250</v>
      </c>
      <c r="E20" s="11">
        <v>223</v>
      </c>
      <c r="F20" s="256"/>
      <c r="G20" s="256"/>
      <c r="H20" s="249">
        <v>4.1479999999999998E-3</v>
      </c>
      <c r="I20" s="249">
        <v>2.0739999999999999E-3</v>
      </c>
      <c r="J20" s="260">
        <f>IF(Dermal_Exp[[#This Row],[Worker Type]]&lt;&gt;"",(Dermal_Exp[[#This Row],[High-End Exposure to Liquid]]+Dermal_Exp[[#This Row],[High-End Exposure to Solids]]),"Not Assessed")</f>
        <v>4.1479999999999998E-3</v>
      </c>
      <c r="K20" s="256">
        <f>IF(Dermal_Exp[[#This Row],[Worker Type]]&lt;&gt;"",(Dermal_Exp[[#This Row],[ Central Tendency Exposure to Liquids]]+Dermal_Exp[[#This Row],[Central Tendency  Exposure to Solids]]),"Not Assessed")</f>
        <v>2.0739999999999999E-3</v>
      </c>
      <c r="L20" s="259">
        <f>IFERROR(Dermal_Exp[[#This Row],[High-End AD (mg/kg-day)]]*IF(Dermal_Exp[[#This Row],[ED_High-End]]&gt;EFID,EFID,Dermal_Exp[[#This Row],[ED_High-End]])/ID,"Not Assessed")</f>
        <v>3.0418666666666662E-3</v>
      </c>
      <c r="M20" s="259">
        <f>IFERROR(Dermal_Exp[[#This Row],[Central Tendency AD (mg/kg-day)]]*IF(Dermal_Exp[[#This Row],[ED_Central Tendency]]&gt;EFID,EFID,Dermal_Exp[[#This Row],[ED_Central Tendency]])/ID,"Not Assessed")</f>
        <v>1.5209333333333331E-3</v>
      </c>
      <c r="N20" s="256">
        <f>IFERROR(Dermal_Exp[[#This Row],[High-End AD (mg/kg-day)]]*Dermal_Exp[[#This Row],[ED_High-End]]*WY_high/(365*WY_high),"Not Assessed")</f>
        <v>2.8410958904109586E-3</v>
      </c>
      <c r="O20" s="256">
        <f>IFERROR(Dermal_Exp[[#This Row],[Central Tendency AD (mg/kg-day)]]*Dermal_Exp[[#This Row],[ED_Central Tendency]]*WY_mid/(365*WY_mid),"Not Assessed")</f>
        <v>1.2671287671232876E-3</v>
      </c>
    </row>
    <row r="21" spans="1:15" ht="15" x14ac:dyDescent="0.2">
      <c r="A21" s="267">
        <v>3</v>
      </c>
      <c r="B21" s="263" t="s">
        <v>159</v>
      </c>
      <c r="C21" s="248" t="s">
        <v>69</v>
      </c>
      <c r="D21" s="11">
        <v>250</v>
      </c>
      <c r="E21" s="11">
        <v>223</v>
      </c>
      <c r="F21" s="256"/>
      <c r="G21" s="256"/>
      <c r="H21" s="249">
        <v>1.12885E-3</v>
      </c>
      <c r="I21" s="249">
        <v>1.12885E-3</v>
      </c>
      <c r="J21" s="260">
        <f>IF(Dermal_Exp[[#This Row],[Worker Type]]&lt;&gt;"",(Dermal_Exp[[#This Row],[High-End Exposure to Liquid]]+Dermal_Exp[[#This Row],[High-End Exposure to Solids]]),"Not Assessed")</f>
        <v>1.12885E-3</v>
      </c>
      <c r="K21" s="256">
        <f>IF(Dermal_Exp[[#This Row],[Worker Type]]&lt;&gt;"",(Dermal_Exp[[#This Row],[ Central Tendency Exposure to Liquids]]+Dermal_Exp[[#This Row],[Central Tendency  Exposure to Solids]]),"Not Assessed")</f>
        <v>1.12885E-3</v>
      </c>
      <c r="L21" s="259">
        <f>IFERROR(Dermal_Exp[[#This Row],[High-End AD (mg/kg-day)]]*IF(Dermal_Exp[[#This Row],[ED_High-End]]&gt;EFID,EFID,Dermal_Exp[[#This Row],[ED_High-End]])/ID,"Not Assessed")</f>
        <v>8.2782333333333337E-4</v>
      </c>
      <c r="M21" s="259">
        <f>IFERROR(Dermal_Exp[[#This Row],[Central Tendency AD (mg/kg-day)]]*IF(Dermal_Exp[[#This Row],[ED_Central Tendency]]&gt;EFID,EFID,Dermal_Exp[[#This Row],[ED_Central Tendency]])/ID,"Not Assessed")</f>
        <v>8.2782333333333337E-4</v>
      </c>
      <c r="N21" s="273">
        <f>IFERROR(Dermal_Exp[[#This Row],[High-End AD (mg/kg-day)]]*Dermal_Exp[[#This Row],[ED_High-End]]*WY_high/(365*WY_high),"Not Assessed")</f>
        <v>7.7318493150684941E-4</v>
      </c>
      <c r="O21" s="273">
        <f>IFERROR(Dermal_Exp[[#This Row],[Central Tendency AD (mg/kg-day)]]*Dermal_Exp[[#This Row],[ED_Central Tendency]]*WY_mid/(365*WY_mid),"Not Assessed")</f>
        <v>6.8968095890410968E-4</v>
      </c>
    </row>
    <row r="22" spans="1:15" ht="15" x14ac:dyDescent="0.2">
      <c r="A22" s="267">
        <v>3</v>
      </c>
      <c r="B22" s="263" t="s">
        <v>160</v>
      </c>
      <c r="C22" s="248" t="s">
        <v>52</v>
      </c>
      <c r="D22" s="11">
        <v>250</v>
      </c>
      <c r="E22" s="11">
        <v>219</v>
      </c>
      <c r="F22" s="256"/>
      <c r="G22" s="256"/>
      <c r="H22" s="249">
        <v>4.5129999999999997E-3</v>
      </c>
      <c r="I22" s="249">
        <v>2.2560000000000002E-3</v>
      </c>
      <c r="J22" s="260">
        <f>IF(Dermal_Exp[[#This Row],[Worker Type]]&lt;&gt;"",(Dermal_Exp[[#This Row],[High-End Exposure to Liquid]]+Dermal_Exp[[#This Row],[High-End Exposure to Solids]]),"Not Assessed")</f>
        <v>4.5129999999999997E-3</v>
      </c>
      <c r="K22" s="256">
        <f>IF(Dermal_Exp[[#This Row],[Worker Type]]&lt;&gt;"",(Dermal_Exp[[#This Row],[ Central Tendency Exposure to Liquids]]+Dermal_Exp[[#This Row],[Central Tendency  Exposure to Solids]]),"Not Assessed")</f>
        <v>2.2560000000000002E-3</v>
      </c>
      <c r="L22" s="259">
        <f>IFERROR(Dermal_Exp[[#This Row],[High-End AD (mg/kg-day)]]*IF(Dermal_Exp[[#This Row],[ED_High-End]]&gt;EFID,EFID,Dermal_Exp[[#This Row],[ED_High-End]])/ID,"Not Assessed")</f>
        <v>3.3095333333333326E-3</v>
      </c>
      <c r="M22" s="259">
        <f>IFERROR(Dermal_Exp[[#This Row],[Central Tendency AD (mg/kg-day)]]*IF(Dermal_Exp[[#This Row],[ED_Central Tendency]]&gt;EFID,EFID,Dermal_Exp[[#This Row],[ED_Central Tendency]])/ID,"Not Assessed")</f>
        <v>1.6544000000000001E-3</v>
      </c>
      <c r="N22" s="256">
        <f>IFERROR(Dermal_Exp[[#This Row],[High-End AD (mg/kg-day)]]*Dermal_Exp[[#This Row],[ED_High-End]]*WY_high/(365*WY_high),"Not Assessed")</f>
        <v>3.0910958904109588E-3</v>
      </c>
      <c r="O22" s="256">
        <f>IFERROR(Dermal_Exp[[#This Row],[Central Tendency AD (mg/kg-day)]]*Dermal_Exp[[#This Row],[ED_Central Tendency]]*WY_mid/(365*WY_mid),"Not Assessed")</f>
        <v>1.3536000000000002E-3</v>
      </c>
    </row>
    <row r="23" spans="1:15" ht="15" x14ac:dyDescent="0.2">
      <c r="A23" s="267">
        <v>3</v>
      </c>
      <c r="B23" s="263" t="s">
        <v>160</v>
      </c>
      <c r="C23" s="248" t="s">
        <v>96</v>
      </c>
      <c r="D23" s="11">
        <v>250</v>
      </c>
      <c r="E23" s="11">
        <v>219</v>
      </c>
      <c r="F23" s="288"/>
      <c r="G23" s="288"/>
      <c r="H23" s="249">
        <v>4.1479999999999998E-3</v>
      </c>
      <c r="I23" s="249">
        <v>2.0739999999999999E-3</v>
      </c>
      <c r="J23" s="260">
        <f>IF(Dermal_Exp[[#This Row],[Worker Type]]&lt;&gt;"",(Dermal_Exp[[#This Row],[High-End Exposure to Liquid]]+Dermal_Exp[[#This Row],[High-End Exposure to Solids]]),"Not Assessed")</f>
        <v>4.1479999999999998E-3</v>
      </c>
      <c r="K23" s="256">
        <f>IF(Dermal_Exp[[#This Row],[Worker Type]]&lt;&gt;"",(Dermal_Exp[[#This Row],[ Central Tendency Exposure to Liquids]]+Dermal_Exp[[#This Row],[Central Tendency  Exposure to Solids]]),"Not Assessed")</f>
        <v>2.0739999999999999E-3</v>
      </c>
      <c r="L23" s="259">
        <f>IFERROR(Dermal_Exp[[#This Row],[High-End AD (mg/kg-day)]]*IF(Dermal_Exp[[#This Row],[ED_High-End]]&gt;EFID,EFID,Dermal_Exp[[#This Row],[ED_High-End]])/ID,"Not Assessed")</f>
        <v>3.0418666666666662E-3</v>
      </c>
      <c r="M23" s="259">
        <f>IFERROR(Dermal_Exp[[#This Row],[Central Tendency AD (mg/kg-day)]]*IF(Dermal_Exp[[#This Row],[ED_Central Tendency]]&gt;EFID,EFID,Dermal_Exp[[#This Row],[ED_Central Tendency]])/ID,"Not Assessed")</f>
        <v>1.5209333333333331E-3</v>
      </c>
      <c r="N23" s="273">
        <f>IFERROR(Dermal_Exp[[#This Row],[High-End AD (mg/kg-day)]]*Dermal_Exp[[#This Row],[ED_High-End]]*WY_high/(365*WY_high),"Not Assessed")</f>
        <v>2.8410958904109586E-3</v>
      </c>
      <c r="O23" s="273">
        <f>IFERROR(Dermal_Exp[[#This Row],[Central Tendency AD (mg/kg-day)]]*Dermal_Exp[[#This Row],[ED_Central Tendency]]*WY_mid/(365*WY_mid),"Not Assessed")</f>
        <v>1.2444000000000001E-3</v>
      </c>
    </row>
    <row r="24" spans="1:15" ht="15" x14ac:dyDescent="0.2">
      <c r="A24" s="267">
        <v>3</v>
      </c>
      <c r="B24" s="263" t="s">
        <v>160</v>
      </c>
      <c r="C24" s="248" t="s">
        <v>69</v>
      </c>
      <c r="D24" s="11">
        <v>250</v>
      </c>
      <c r="E24" s="11">
        <v>219</v>
      </c>
      <c r="F24" s="256"/>
      <c r="G24" s="256"/>
      <c r="H24" s="249">
        <v>1.12885E-3</v>
      </c>
      <c r="I24" s="249">
        <v>1.12885E-3</v>
      </c>
      <c r="J24" s="260">
        <f>IF(Dermal_Exp[[#This Row],[Worker Type]]&lt;&gt;"",(Dermal_Exp[[#This Row],[High-End Exposure to Liquid]]+Dermal_Exp[[#This Row],[High-End Exposure to Solids]]),"Not Assessed")</f>
        <v>1.12885E-3</v>
      </c>
      <c r="K24" s="256">
        <f>IF(Dermal_Exp[[#This Row],[Worker Type]]&lt;&gt;"",(Dermal_Exp[[#This Row],[ Central Tendency Exposure to Liquids]]+Dermal_Exp[[#This Row],[Central Tendency  Exposure to Solids]]),"Not Assessed")</f>
        <v>1.12885E-3</v>
      </c>
      <c r="L24" s="259">
        <f>IFERROR(Dermal_Exp[[#This Row],[High-End AD (mg/kg-day)]]*IF(Dermal_Exp[[#This Row],[ED_High-End]]&gt;EFID,EFID,Dermal_Exp[[#This Row],[ED_High-End]])/ID,"Not Assessed")</f>
        <v>8.2782333333333337E-4</v>
      </c>
      <c r="M24" s="259">
        <f>IFERROR(Dermal_Exp[[#This Row],[Central Tendency AD (mg/kg-day)]]*IF(Dermal_Exp[[#This Row],[ED_Central Tendency]]&gt;EFID,EFID,Dermal_Exp[[#This Row],[ED_Central Tendency]])/ID,"Not Assessed")</f>
        <v>8.2782333333333337E-4</v>
      </c>
      <c r="N24" s="256">
        <f>IFERROR(Dermal_Exp[[#This Row],[High-End AD (mg/kg-day)]]*Dermal_Exp[[#This Row],[ED_High-End]]*WY_high/(365*WY_high),"Not Assessed")</f>
        <v>7.7318493150684941E-4</v>
      </c>
      <c r="O24" s="256">
        <f>IFERROR(Dermal_Exp[[#This Row],[Central Tendency AD (mg/kg-day)]]*Dermal_Exp[[#This Row],[ED_Central Tendency]]*WY_mid/(365*WY_mid),"Not Assessed")</f>
        <v>6.7730999999999998E-4</v>
      </c>
    </row>
    <row r="25" spans="1:15" ht="15" x14ac:dyDescent="0.2">
      <c r="A25" s="267">
        <v>3</v>
      </c>
      <c r="B25" s="309" t="s">
        <v>161</v>
      </c>
      <c r="C25" s="248" t="s">
        <v>52</v>
      </c>
      <c r="D25" s="11">
        <v>250</v>
      </c>
      <c r="E25" s="11">
        <v>234</v>
      </c>
      <c r="F25" s="256"/>
      <c r="G25" s="256"/>
      <c r="H25" s="249">
        <v>4.5129999999999997E-3</v>
      </c>
      <c r="I25" s="249">
        <v>2.2560000000000002E-3</v>
      </c>
      <c r="J25" s="260">
        <f>IF(Dermal_Exp[[#This Row],[Worker Type]]&lt;&gt;"",(Dermal_Exp[[#This Row],[High-End Exposure to Liquid]]+Dermal_Exp[[#This Row],[High-End Exposure to Solids]]),"Not Assessed")</f>
        <v>4.5129999999999997E-3</v>
      </c>
      <c r="K25" s="256">
        <f>IF(Dermal_Exp[[#This Row],[Worker Type]]&lt;&gt;"",(Dermal_Exp[[#This Row],[ Central Tendency Exposure to Liquids]]+Dermal_Exp[[#This Row],[Central Tendency  Exposure to Solids]]),"Not Assessed")</f>
        <v>2.2560000000000002E-3</v>
      </c>
      <c r="L25" s="259">
        <f>IFERROR(Dermal_Exp[[#This Row],[High-End AD (mg/kg-day)]]*IF(Dermal_Exp[[#This Row],[ED_High-End]]&gt;EFID,EFID,Dermal_Exp[[#This Row],[ED_High-End]])/ID,"Not Assessed")</f>
        <v>3.3095333333333326E-3</v>
      </c>
      <c r="M25" s="259">
        <f>IFERROR(Dermal_Exp[[#This Row],[Central Tendency AD (mg/kg-day)]]*IF(Dermal_Exp[[#This Row],[ED_Central Tendency]]&gt;EFID,EFID,Dermal_Exp[[#This Row],[ED_Central Tendency]])/ID,"Not Assessed")</f>
        <v>1.6544000000000001E-3</v>
      </c>
      <c r="N25" s="273">
        <f>IFERROR(Dermal_Exp[[#This Row],[High-End AD (mg/kg-day)]]*Dermal_Exp[[#This Row],[ED_High-End]]*WY_high/(365*WY_high),"Not Assessed")</f>
        <v>3.0910958904109588E-3</v>
      </c>
      <c r="O25" s="273">
        <f>IFERROR(Dermal_Exp[[#This Row],[Central Tendency AD (mg/kg-day)]]*Dermal_Exp[[#This Row],[ED_Central Tendency]]*WY_mid/(365*WY_mid),"Not Assessed")</f>
        <v>1.4463123287671235E-3</v>
      </c>
    </row>
    <row r="26" spans="1:15" ht="15" x14ac:dyDescent="0.2">
      <c r="A26" s="267">
        <v>3</v>
      </c>
      <c r="B26" s="309" t="s">
        <v>161</v>
      </c>
      <c r="C26" s="248" t="s">
        <v>96</v>
      </c>
      <c r="D26" s="11">
        <v>250</v>
      </c>
      <c r="E26" s="11">
        <v>234</v>
      </c>
      <c r="F26" s="256"/>
      <c r="G26" s="256"/>
      <c r="H26" s="249">
        <v>4.1479999999999998E-3</v>
      </c>
      <c r="I26" s="249">
        <v>2.0739999999999999E-3</v>
      </c>
      <c r="J26" s="260">
        <f>IF(Dermal_Exp[[#This Row],[Worker Type]]&lt;&gt;"",(Dermal_Exp[[#This Row],[High-End Exposure to Liquid]]+Dermal_Exp[[#This Row],[High-End Exposure to Solids]]),"Not Assessed")</f>
        <v>4.1479999999999998E-3</v>
      </c>
      <c r="K26" s="256">
        <f>IF(Dermal_Exp[[#This Row],[Worker Type]]&lt;&gt;"",(Dermal_Exp[[#This Row],[ Central Tendency Exposure to Liquids]]+Dermal_Exp[[#This Row],[Central Tendency  Exposure to Solids]]),"Not Assessed")</f>
        <v>2.0739999999999999E-3</v>
      </c>
      <c r="L26" s="259">
        <f>IFERROR(Dermal_Exp[[#This Row],[High-End AD (mg/kg-day)]]*IF(Dermal_Exp[[#This Row],[ED_High-End]]&gt;EFID,EFID,Dermal_Exp[[#This Row],[ED_High-End]])/ID,"Not Assessed")</f>
        <v>3.0418666666666662E-3</v>
      </c>
      <c r="M26" s="259">
        <f>IFERROR(Dermal_Exp[[#This Row],[Central Tendency AD (mg/kg-day)]]*IF(Dermal_Exp[[#This Row],[ED_Central Tendency]]&gt;EFID,EFID,Dermal_Exp[[#This Row],[ED_Central Tendency]])/ID,"Not Assessed")</f>
        <v>1.5209333333333331E-3</v>
      </c>
      <c r="N26" s="256">
        <f>IFERROR(Dermal_Exp[[#This Row],[High-End AD (mg/kg-day)]]*Dermal_Exp[[#This Row],[ED_High-End]]*WY_high/(365*WY_high),"Not Assessed")</f>
        <v>2.8410958904109586E-3</v>
      </c>
      <c r="O26" s="256">
        <f>IFERROR(Dermal_Exp[[#This Row],[Central Tendency AD (mg/kg-day)]]*Dermal_Exp[[#This Row],[ED_Central Tendency]]*WY_mid/(365*WY_mid),"Not Assessed")</f>
        <v>1.3296328767123287E-3</v>
      </c>
    </row>
    <row r="27" spans="1:15" ht="15" x14ac:dyDescent="0.2">
      <c r="A27" s="267">
        <v>3</v>
      </c>
      <c r="B27" s="309" t="s">
        <v>161</v>
      </c>
      <c r="C27" s="248" t="s">
        <v>69</v>
      </c>
      <c r="D27" s="11">
        <v>250</v>
      </c>
      <c r="E27" s="11">
        <v>234</v>
      </c>
      <c r="F27" s="256"/>
      <c r="G27" s="256"/>
      <c r="H27" s="249">
        <v>1.12885E-3</v>
      </c>
      <c r="I27" s="249">
        <v>1.12885E-3</v>
      </c>
      <c r="J27" s="260">
        <f>IF(Dermal_Exp[[#This Row],[Worker Type]]&lt;&gt;"",(Dermal_Exp[[#This Row],[High-End Exposure to Liquid]]+Dermal_Exp[[#This Row],[High-End Exposure to Solids]]),"Not Assessed")</f>
        <v>1.12885E-3</v>
      </c>
      <c r="K27" s="256">
        <f>IF(Dermal_Exp[[#This Row],[Worker Type]]&lt;&gt;"",(Dermal_Exp[[#This Row],[ Central Tendency Exposure to Liquids]]+Dermal_Exp[[#This Row],[Central Tendency  Exposure to Solids]]),"Not Assessed")</f>
        <v>1.12885E-3</v>
      </c>
      <c r="L27" s="259">
        <f>IFERROR(Dermal_Exp[[#This Row],[High-End AD (mg/kg-day)]]*IF(Dermal_Exp[[#This Row],[ED_High-End]]&gt;EFID,EFID,Dermal_Exp[[#This Row],[ED_High-End]])/ID,"Not Assessed")</f>
        <v>8.2782333333333337E-4</v>
      </c>
      <c r="M27" s="259">
        <f>IFERROR(Dermal_Exp[[#This Row],[Central Tendency AD (mg/kg-day)]]*IF(Dermal_Exp[[#This Row],[ED_Central Tendency]]&gt;EFID,EFID,Dermal_Exp[[#This Row],[ED_Central Tendency]])/ID,"Not Assessed")</f>
        <v>8.2782333333333337E-4</v>
      </c>
      <c r="N27" s="273">
        <f>IFERROR(Dermal_Exp[[#This Row],[High-End AD (mg/kg-day)]]*Dermal_Exp[[#This Row],[ED_High-End]]*WY_high/(365*WY_high),"Not Assessed")</f>
        <v>7.7318493150684941E-4</v>
      </c>
      <c r="O27" s="273">
        <f>IFERROR(Dermal_Exp[[#This Row],[Central Tendency AD (mg/kg-day)]]*Dermal_Exp[[#This Row],[ED_Central Tendency]]*WY_mid/(365*WY_mid),"Not Assessed")</f>
        <v>7.2370109589041094E-4</v>
      </c>
    </row>
    <row r="28" spans="1:15" ht="15" x14ac:dyDescent="0.2">
      <c r="A28" s="267">
        <v>3</v>
      </c>
      <c r="B28" s="263" t="s">
        <v>162</v>
      </c>
      <c r="C28" s="248" t="s">
        <v>52</v>
      </c>
      <c r="D28" s="11">
        <v>250</v>
      </c>
      <c r="E28" s="11">
        <v>219</v>
      </c>
      <c r="F28" s="256"/>
      <c r="G28" s="256"/>
      <c r="H28" s="249">
        <v>4.5129999999999997E-3</v>
      </c>
      <c r="I28" s="249">
        <v>2.2560000000000002E-3</v>
      </c>
      <c r="J28" s="260">
        <f>IF(Dermal_Exp[[#This Row],[Worker Type]]&lt;&gt;"",(Dermal_Exp[[#This Row],[High-End Exposure to Liquid]]+Dermal_Exp[[#This Row],[High-End Exposure to Solids]]),"Not Assessed")</f>
        <v>4.5129999999999997E-3</v>
      </c>
      <c r="K28" s="256">
        <f>IF(Dermal_Exp[[#This Row],[Worker Type]]&lt;&gt;"",(Dermal_Exp[[#This Row],[ Central Tendency Exposure to Liquids]]+Dermal_Exp[[#This Row],[Central Tendency  Exposure to Solids]]),"Not Assessed")</f>
        <v>2.2560000000000002E-3</v>
      </c>
      <c r="L28" s="259">
        <f>IFERROR(Dermal_Exp[[#This Row],[High-End AD (mg/kg-day)]]*IF(Dermal_Exp[[#This Row],[ED_High-End]]&gt;EFID,EFID,Dermal_Exp[[#This Row],[ED_High-End]])/ID,"Not Assessed")</f>
        <v>3.3095333333333326E-3</v>
      </c>
      <c r="M28" s="259">
        <f>IFERROR(Dermal_Exp[[#This Row],[Central Tendency AD (mg/kg-day)]]*IF(Dermal_Exp[[#This Row],[ED_Central Tendency]]&gt;EFID,EFID,Dermal_Exp[[#This Row],[ED_Central Tendency]])/ID,"Not Assessed")</f>
        <v>1.6544000000000001E-3</v>
      </c>
      <c r="N28" s="256">
        <f>IFERROR(Dermal_Exp[[#This Row],[High-End AD (mg/kg-day)]]*Dermal_Exp[[#This Row],[ED_High-End]]*WY_high/(365*WY_high),"Not Assessed")</f>
        <v>3.0910958904109588E-3</v>
      </c>
      <c r="O28" s="256">
        <f>IFERROR(Dermal_Exp[[#This Row],[Central Tendency AD (mg/kg-day)]]*Dermal_Exp[[#This Row],[ED_Central Tendency]]*WY_mid/(365*WY_mid),"Not Assessed")</f>
        <v>1.3536000000000002E-3</v>
      </c>
    </row>
    <row r="29" spans="1:15" ht="15" x14ac:dyDescent="0.2">
      <c r="A29" s="267">
        <v>3</v>
      </c>
      <c r="B29" s="263" t="s">
        <v>162</v>
      </c>
      <c r="C29" s="248" t="s">
        <v>96</v>
      </c>
      <c r="D29" s="11">
        <v>250</v>
      </c>
      <c r="E29" s="11">
        <v>219</v>
      </c>
      <c r="F29" s="288"/>
      <c r="G29" s="288"/>
      <c r="H29" s="249">
        <v>4.1479999999999998E-3</v>
      </c>
      <c r="I29" s="249">
        <v>2.0739999999999999E-3</v>
      </c>
      <c r="J29" s="260">
        <f>IF(Dermal_Exp[[#This Row],[Worker Type]]&lt;&gt;"",(Dermal_Exp[[#This Row],[High-End Exposure to Liquid]]+Dermal_Exp[[#This Row],[High-End Exposure to Solids]]),"Not Assessed")</f>
        <v>4.1479999999999998E-3</v>
      </c>
      <c r="K29" s="256">
        <f>IF(Dermal_Exp[[#This Row],[Worker Type]]&lt;&gt;"",(Dermal_Exp[[#This Row],[ Central Tendency Exposure to Liquids]]+Dermal_Exp[[#This Row],[Central Tendency  Exposure to Solids]]),"Not Assessed")</f>
        <v>2.0739999999999999E-3</v>
      </c>
      <c r="L29" s="259">
        <f>IFERROR(Dermal_Exp[[#This Row],[High-End AD (mg/kg-day)]]*IF(Dermal_Exp[[#This Row],[ED_High-End]]&gt;EFID,EFID,Dermal_Exp[[#This Row],[ED_High-End]])/ID,"Not Assessed")</f>
        <v>3.0418666666666662E-3</v>
      </c>
      <c r="M29" s="259">
        <f>IFERROR(Dermal_Exp[[#This Row],[Central Tendency AD (mg/kg-day)]]*IF(Dermal_Exp[[#This Row],[ED_Central Tendency]]&gt;EFID,EFID,Dermal_Exp[[#This Row],[ED_Central Tendency]])/ID,"Not Assessed")</f>
        <v>1.5209333333333331E-3</v>
      </c>
      <c r="N29" s="273">
        <f>IFERROR(Dermal_Exp[[#This Row],[High-End AD (mg/kg-day)]]*Dermal_Exp[[#This Row],[ED_High-End]]*WY_high/(365*WY_high),"Not Assessed")</f>
        <v>2.8410958904109586E-3</v>
      </c>
      <c r="O29" s="273">
        <f>IFERROR(Dermal_Exp[[#This Row],[Central Tendency AD (mg/kg-day)]]*Dermal_Exp[[#This Row],[ED_Central Tendency]]*WY_mid/(365*WY_mid),"Not Assessed")</f>
        <v>1.2444000000000001E-3</v>
      </c>
    </row>
    <row r="30" spans="1:15" ht="15" x14ac:dyDescent="0.2">
      <c r="A30" s="267">
        <v>3</v>
      </c>
      <c r="B30" s="263" t="s">
        <v>162</v>
      </c>
      <c r="C30" s="248" t="s">
        <v>69</v>
      </c>
      <c r="D30" s="11">
        <v>250</v>
      </c>
      <c r="E30" s="11">
        <v>219</v>
      </c>
      <c r="F30" s="256"/>
      <c r="G30" s="256"/>
      <c r="H30" s="249">
        <v>1.12885E-3</v>
      </c>
      <c r="I30" s="249">
        <v>1.12885E-3</v>
      </c>
      <c r="J30" s="260">
        <f>IF(Dermal_Exp[[#This Row],[Worker Type]]&lt;&gt;"",(Dermal_Exp[[#This Row],[High-End Exposure to Liquid]]+Dermal_Exp[[#This Row],[High-End Exposure to Solids]]),"Not Assessed")</f>
        <v>1.12885E-3</v>
      </c>
      <c r="K30" s="256">
        <f>IF(Dermal_Exp[[#This Row],[Worker Type]]&lt;&gt;"",(Dermal_Exp[[#This Row],[ Central Tendency Exposure to Liquids]]+Dermal_Exp[[#This Row],[Central Tendency  Exposure to Solids]]),"Not Assessed")</f>
        <v>1.12885E-3</v>
      </c>
      <c r="L30" s="259">
        <f>IFERROR(Dermal_Exp[[#This Row],[High-End AD (mg/kg-day)]]*IF(Dermal_Exp[[#This Row],[ED_High-End]]&gt;EFID,EFID,Dermal_Exp[[#This Row],[ED_High-End]])/ID,"Not Assessed")</f>
        <v>8.2782333333333337E-4</v>
      </c>
      <c r="M30" s="259">
        <f>IFERROR(Dermal_Exp[[#This Row],[Central Tendency AD (mg/kg-day)]]*IF(Dermal_Exp[[#This Row],[ED_Central Tendency]]&gt;EFID,EFID,Dermal_Exp[[#This Row],[ED_Central Tendency]])/ID,"Not Assessed")</f>
        <v>8.2782333333333337E-4</v>
      </c>
      <c r="N30" s="256">
        <f>IFERROR(Dermal_Exp[[#This Row],[High-End AD (mg/kg-day)]]*Dermal_Exp[[#This Row],[ED_High-End]]*WY_high/(365*WY_high),"Not Assessed")</f>
        <v>7.7318493150684941E-4</v>
      </c>
      <c r="O30" s="256">
        <f>IFERROR(Dermal_Exp[[#This Row],[Central Tendency AD (mg/kg-day)]]*Dermal_Exp[[#This Row],[ED_Central Tendency]]*WY_mid/(365*WY_mid),"Not Assessed")</f>
        <v>6.7730999999999998E-4</v>
      </c>
    </row>
    <row r="31" spans="1:15" ht="15" x14ac:dyDescent="0.2">
      <c r="A31" s="267">
        <v>4</v>
      </c>
      <c r="B31" s="263" t="s">
        <v>163</v>
      </c>
      <c r="C31" s="248" t="s">
        <v>52</v>
      </c>
      <c r="D31" s="11">
        <v>250</v>
      </c>
      <c r="E31" s="11">
        <v>250</v>
      </c>
      <c r="F31" s="256">
        <v>4.5129999999999997E-3</v>
      </c>
      <c r="G31" s="256">
        <v>2.2560000000000002E-3</v>
      </c>
      <c r="H31" s="256"/>
      <c r="I31" s="273"/>
      <c r="J31" s="260">
        <f>IF(Dermal_Exp[[#This Row],[Worker Type]]&lt;&gt;"",(Dermal_Exp[[#This Row],[High-End Exposure to Liquid]]+Dermal_Exp[[#This Row],[High-End Exposure to Solids]]),"Not Assessed")</f>
        <v>4.5129999999999997E-3</v>
      </c>
      <c r="K31" s="256">
        <f>IF(Dermal_Exp[[#This Row],[Worker Type]]&lt;&gt;"",(Dermal_Exp[[#This Row],[ Central Tendency Exposure to Liquids]]+Dermal_Exp[[#This Row],[Central Tendency  Exposure to Solids]]),"Not Assessed")</f>
        <v>2.2560000000000002E-3</v>
      </c>
      <c r="L31" s="259">
        <f>IFERROR(Dermal_Exp[[#This Row],[High-End AD (mg/kg-day)]]*IF(Dermal_Exp[[#This Row],[ED_High-End]]&gt;EFID,EFID,Dermal_Exp[[#This Row],[ED_High-End]])/ID,"Not Assessed")</f>
        <v>3.3095333333333326E-3</v>
      </c>
      <c r="M31" s="259">
        <f>IFERROR(Dermal_Exp[[#This Row],[Central Tendency AD (mg/kg-day)]]*IF(Dermal_Exp[[#This Row],[ED_Central Tendency]]&gt;EFID,EFID,Dermal_Exp[[#This Row],[ED_Central Tendency]])/ID,"Not Assessed")</f>
        <v>1.6544000000000001E-3</v>
      </c>
      <c r="N31" s="273">
        <f>IFERROR(Dermal_Exp[[#This Row],[High-End AD (mg/kg-day)]]*Dermal_Exp[[#This Row],[ED_High-End]]*WY_high/(365*WY_high),"Not Assessed")</f>
        <v>3.0910958904109588E-3</v>
      </c>
      <c r="O31" s="273">
        <f>IFERROR(Dermal_Exp[[#This Row],[Central Tendency AD (mg/kg-day)]]*Dermal_Exp[[#This Row],[ED_Central Tendency]]*WY_mid/(365*WY_mid),"Not Assessed")</f>
        <v>1.5452054794520549E-3</v>
      </c>
    </row>
    <row r="32" spans="1:15" ht="15" x14ac:dyDescent="0.2">
      <c r="A32" s="267">
        <v>4</v>
      </c>
      <c r="B32" s="263" t="s">
        <v>163</v>
      </c>
      <c r="C32" s="248" t="s">
        <v>96</v>
      </c>
      <c r="D32" s="272">
        <v>250</v>
      </c>
      <c r="E32" s="272">
        <v>250</v>
      </c>
      <c r="F32" s="256">
        <v>4.1479999999999998E-3</v>
      </c>
      <c r="G32" s="256">
        <v>2.0739999999999999E-3</v>
      </c>
      <c r="H32" s="256"/>
      <c r="I32" s="256"/>
      <c r="J32" s="260">
        <f>IF(Dermal_Exp[[#This Row],[Worker Type]]&lt;&gt;"",(Dermal_Exp[[#This Row],[High-End Exposure to Liquid]]+Dermal_Exp[[#This Row],[High-End Exposure to Solids]]),"Not Assessed")</f>
        <v>4.1479999999999998E-3</v>
      </c>
      <c r="K32" s="256">
        <f>IF(Dermal_Exp[[#This Row],[Worker Type]]&lt;&gt;"",(Dermal_Exp[[#This Row],[ Central Tendency Exposure to Liquids]]+Dermal_Exp[[#This Row],[Central Tendency  Exposure to Solids]]),"Not Assessed")</f>
        <v>2.0739999999999999E-3</v>
      </c>
      <c r="L32" s="259">
        <f>IFERROR(Dermal_Exp[[#This Row],[High-End AD (mg/kg-day)]]*IF(Dermal_Exp[[#This Row],[ED_High-End]]&gt;EFID,EFID,Dermal_Exp[[#This Row],[ED_High-End]])/ID,"Not Assessed")</f>
        <v>3.0418666666666662E-3</v>
      </c>
      <c r="M32" s="259">
        <f>IFERROR(Dermal_Exp[[#This Row],[Central Tendency AD (mg/kg-day)]]*IF(Dermal_Exp[[#This Row],[ED_Central Tendency]]&gt;EFID,EFID,Dermal_Exp[[#This Row],[ED_Central Tendency]])/ID,"Not Assessed")</f>
        <v>1.5209333333333331E-3</v>
      </c>
      <c r="N32" s="256">
        <f>IFERROR(Dermal_Exp[[#This Row],[High-End AD (mg/kg-day)]]*Dermal_Exp[[#This Row],[ED_High-End]]*WY_high/(365*WY_high),"Not Assessed")</f>
        <v>2.8410958904109586E-3</v>
      </c>
      <c r="O32" s="256">
        <f>IFERROR(Dermal_Exp[[#This Row],[Central Tendency AD (mg/kg-day)]]*Dermal_Exp[[#This Row],[ED_Central Tendency]]*WY_mid/(365*WY_mid),"Not Assessed")</f>
        <v>1.4205479452054793E-3</v>
      </c>
    </row>
    <row r="33" spans="1:15" ht="15" x14ac:dyDescent="0.2">
      <c r="A33" s="267">
        <v>4</v>
      </c>
      <c r="B33" s="263" t="s">
        <v>163</v>
      </c>
      <c r="C33" s="248" t="s">
        <v>69</v>
      </c>
      <c r="D33" s="11">
        <v>250</v>
      </c>
      <c r="E33" s="11">
        <v>250</v>
      </c>
      <c r="F33" s="249">
        <v>1.12885E-3</v>
      </c>
      <c r="G33" s="249">
        <v>1.12885E-3</v>
      </c>
      <c r="H33" s="256"/>
      <c r="I33" s="256"/>
      <c r="J33" s="260">
        <f>IF(Dermal_Exp[[#This Row],[Worker Type]]&lt;&gt;"",(Dermal_Exp[[#This Row],[High-End Exposure to Liquid]]+Dermal_Exp[[#This Row],[High-End Exposure to Solids]]),"Not Assessed")</f>
        <v>1.12885E-3</v>
      </c>
      <c r="K33" s="256">
        <f>IF(Dermal_Exp[[#This Row],[Worker Type]]&lt;&gt;"",(Dermal_Exp[[#This Row],[ Central Tendency Exposure to Liquids]]+Dermal_Exp[[#This Row],[Central Tendency  Exposure to Solids]]),"Not Assessed")</f>
        <v>1.12885E-3</v>
      </c>
      <c r="L33" s="259">
        <f>IFERROR(Dermal_Exp[[#This Row],[High-End AD (mg/kg-day)]]*IF(Dermal_Exp[[#This Row],[ED_High-End]]&gt;EFID,EFID,Dermal_Exp[[#This Row],[ED_High-End]])/ID,"Not Assessed")</f>
        <v>8.2782333333333337E-4</v>
      </c>
      <c r="M33" s="259">
        <f>IFERROR(Dermal_Exp[[#This Row],[Central Tendency AD (mg/kg-day)]]*IF(Dermal_Exp[[#This Row],[ED_Central Tendency]]&gt;EFID,EFID,Dermal_Exp[[#This Row],[ED_Central Tendency]])/ID,"Not Assessed")</f>
        <v>8.2782333333333337E-4</v>
      </c>
      <c r="N33" s="273">
        <f>IFERROR(Dermal_Exp[[#This Row],[High-End AD (mg/kg-day)]]*Dermal_Exp[[#This Row],[ED_High-End]]*WY_high/(365*WY_high),"Not Assessed")</f>
        <v>7.7318493150684941E-4</v>
      </c>
      <c r="O33" s="273">
        <f>IFERROR(Dermal_Exp[[#This Row],[Central Tendency AD (mg/kg-day)]]*Dermal_Exp[[#This Row],[ED_Central Tendency]]*WY_mid/(365*WY_mid),"Not Assessed")</f>
        <v>7.7318493150684941E-4</v>
      </c>
    </row>
    <row r="34" spans="1:15" ht="15" x14ac:dyDescent="0.2">
      <c r="A34" s="267">
        <v>4</v>
      </c>
      <c r="B34" s="263" t="s">
        <v>165</v>
      </c>
      <c r="C34" s="248" t="s">
        <v>52</v>
      </c>
      <c r="D34" s="11">
        <v>250</v>
      </c>
      <c r="E34" s="11">
        <v>250</v>
      </c>
      <c r="F34" s="256"/>
      <c r="G34" s="256"/>
      <c r="H34" s="256">
        <v>4.5129999999999997E-3</v>
      </c>
      <c r="I34" s="256">
        <v>2.2560000000000002E-3</v>
      </c>
      <c r="J34" s="260">
        <f>IF(Dermal_Exp[[#This Row],[Worker Type]]&lt;&gt;"",(Dermal_Exp[[#This Row],[High-End Exposure to Liquid]]+Dermal_Exp[[#This Row],[High-End Exposure to Solids]]),"Not Assessed")</f>
        <v>4.5129999999999997E-3</v>
      </c>
      <c r="K34" s="256">
        <f>IF(Dermal_Exp[[#This Row],[Worker Type]]&lt;&gt;"",(Dermal_Exp[[#This Row],[ Central Tendency Exposure to Liquids]]+Dermal_Exp[[#This Row],[Central Tendency  Exposure to Solids]]),"Not Assessed")</f>
        <v>2.2560000000000002E-3</v>
      </c>
      <c r="L34" s="259">
        <f>IFERROR(Dermal_Exp[[#This Row],[High-End AD (mg/kg-day)]]*IF(Dermal_Exp[[#This Row],[ED_High-End]]&gt;EFID,EFID,Dermal_Exp[[#This Row],[ED_High-End]])/ID,"Not Assessed")</f>
        <v>3.3095333333333326E-3</v>
      </c>
      <c r="M34" s="259">
        <f>IFERROR(Dermal_Exp[[#This Row],[Central Tendency AD (mg/kg-day)]]*IF(Dermal_Exp[[#This Row],[ED_Central Tendency]]&gt;EFID,EFID,Dermal_Exp[[#This Row],[ED_Central Tendency]])/ID,"Not Assessed")</f>
        <v>1.6544000000000001E-3</v>
      </c>
      <c r="N34" s="256">
        <f>IFERROR(Dermal_Exp[[#This Row],[High-End AD (mg/kg-day)]]*Dermal_Exp[[#This Row],[ED_High-End]]*WY_high/(365*WY_high),"Not Assessed")</f>
        <v>3.0910958904109588E-3</v>
      </c>
      <c r="O34" s="256">
        <f>IFERROR(Dermal_Exp[[#This Row],[Central Tendency AD (mg/kg-day)]]*Dermal_Exp[[#This Row],[ED_Central Tendency]]*WY_mid/(365*WY_mid),"Not Assessed")</f>
        <v>1.5452054794520549E-3</v>
      </c>
    </row>
    <row r="35" spans="1:15" ht="15" x14ac:dyDescent="0.2">
      <c r="A35" s="267">
        <v>4</v>
      </c>
      <c r="B35" s="263" t="s">
        <v>165</v>
      </c>
      <c r="C35" s="248" t="s">
        <v>96</v>
      </c>
      <c r="D35" s="272">
        <v>250</v>
      </c>
      <c r="E35" s="272">
        <v>250</v>
      </c>
      <c r="F35" s="288"/>
      <c r="G35" s="288"/>
      <c r="H35" s="256">
        <v>4.1479999999999998E-3</v>
      </c>
      <c r="I35" s="256">
        <v>2.0739999999999999E-3</v>
      </c>
      <c r="J35" s="260">
        <f>IF(Dermal_Exp[[#This Row],[Worker Type]]&lt;&gt;"",(Dermal_Exp[[#This Row],[High-End Exposure to Liquid]]+Dermal_Exp[[#This Row],[High-End Exposure to Solids]]),"Not Assessed")</f>
        <v>4.1479999999999998E-3</v>
      </c>
      <c r="K35" s="256">
        <f>IF(Dermal_Exp[[#This Row],[Worker Type]]&lt;&gt;"",(Dermal_Exp[[#This Row],[ Central Tendency Exposure to Liquids]]+Dermal_Exp[[#This Row],[Central Tendency  Exposure to Solids]]),"Not Assessed")</f>
        <v>2.0739999999999999E-3</v>
      </c>
      <c r="L35" s="259">
        <f>IFERROR(Dermal_Exp[[#This Row],[High-End AD (mg/kg-day)]]*IF(Dermal_Exp[[#This Row],[ED_High-End]]&gt;EFID,EFID,Dermal_Exp[[#This Row],[ED_High-End]])/ID,"Not Assessed")</f>
        <v>3.0418666666666662E-3</v>
      </c>
      <c r="M35" s="259">
        <f>IFERROR(Dermal_Exp[[#This Row],[Central Tendency AD (mg/kg-day)]]*IF(Dermal_Exp[[#This Row],[ED_Central Tendency]]&gt;EFID,EFID,Dermal_Exp[[#This Row],[ED_Central Tendency]])/ID,"Not Assessed")</f>
        <v>1.5209333333333331E-3</v>
      </c>
      <c r="N35" s="273">
        <f>IFERROR(Dermal_Exp[[#This Row],[High-End AD (mg/kg-day)]]*Dermal_Exp[[#This Row],[ED_High-End]]*WY_high/(365*WY_high),"Not Assessed")</f>
        <v>2.8410958904109586E-3</v>
      </c>
      <c r="O35" s="273">
        <f>IFERROR(Dermal_Exp[[#This Row],[Central Tendency AD (mg/kg-day)]]*Dermal_Exp[[#This Row],[ED_Central Tendency]]*WY_mid/(365*WY_mid),"Not Assessed")</f>
        <v>1.4205479452054793E-3</v>
      </c>
    </row>
    <row r="36" spans="1:15" ht="15" x14ac:dyDescent="0.2">
      <c r="A36" s="267">
        <v>4</v>
      </c>
      <c r="B36" s="263" t="s">
        <v>165</v>
      </c>
      <c r="C36" s="248" t="s">
        <v>69</v>
      </c>
      <c r="D36" s="11">
        <v>250</v>
      </c>
      <c r="E36" s="11">
        <v>250</v>
      </c>
      <c r="F36" s="256"/>
      <c r="G36" s="256"/>
      <c r="H36" s="249">
        <v>1.12885E-3</v>
      </c>
      <c r="I36" s="249">
        <v>1.12885E-3</v>
      </c>
      <c r="J36" s="260">
        <f>IF(Dermal_Exp[[#This Row],[Worker Type]]&lt;&gt;"",(Dermal_Exp[[#This Row],[High-End Exposure to Liquid]]+Dermal_Exp[[#This Row],[High-End Exposure to Solids]]),"Not Assessed")</f>
        <v>1.12885E-3</v>
      </c>
      <c r="K36" s="256">
        <f>IF(Dermal_Exp[[#This Row],[Worker Type]]&lt;&gt;"",(Dermal_Exp[[#This Row],[ Central Tendency Exposure to Liquids]]+Dermal_Exp[[#This Row],[Central Tendency  Exposure to Solids]]),"Not Assessed")</f>
        <v>1.12885E-3</v>
      </c>
      <c r="L36" s="259">
        <f>IFERROR(Dermal_Exp[[#This Row],[High-End AD (mg/kg-day)]]*IF(Dermal_Exp[[#This Row],[ED_High-End]]&gt;EFID,EFID,Dermal_Exp[[#This Row],[ED_High-End]])/ID,"Not Assessed")</f>
        <v>8.2782333333333337E-4</v>
      </c>
      <c r="M36" s="259">
        <f>IFERROR(Dermal_Exp[[#This Row],[Central Tendency AD (mg/kg-day)]]*IF(Dermal_Exp[[#This Row],[ED_Central Tendency]]&gt;EFID,EFID,Dermal_Exp[[#This Row],[ED_Central Tendency]])/ID,"Not Assessed")</f>
        <v>8.2782333333333337E-4</v>
      </c>
      <c r="N36" s="256">
        <f>IFERROR(Dermal_Exp[[#This Row],[High-End AD (mg/kg-day)]]*Dermal_Exp[[#This Row],[ED_High-End]]*WY_high/(365*WY_high),"Not Assessed")</f>
        <v>7.7318493150684941E-4</v>
      </c>
      <c r="O36" s="256">
        <f>IFERROR(Dermal_Exp[[#This Row],[Central Tendency AD (mg/kg-day)]]*Dermal_Exp[[#This Row],[ED_Central Tendency]]*WY_mid/(365*WY_mid),"Not Assessed")</f>
        <v>7.7318493150684941E-4</v>
      </c>
    </row>
    <row r="37" spans="1:15" ht="30" x14ac:dyDescent="0.2">
      <c r="A37" s="267">
        <v>4</v>
      </c>
      <c r="B37" s="263" t="s">
        <v>166</v>
      </c>
      <c r="C37" s="248" t="s">
        <v>52</v>
      </c>
      <c r="D37" s="11">
        <v>250</v>
      </c>
      <c r="E37" s="11">
        <v>232</v>
      </c>
      <c r="F37" s="256">
        <v>4.5129999999999997E-3</v>
      </c>
      <c r="G37" s="256">
        <v>2.2560000000000002E-3</v>
      </c>
      <c r="H37" s="256"/>
      <c r="I37" s="273"/>
      <c r="J37" s="260">
        <f>IF(Dermal_Exp[[#This Row],[Worker Type]]&lt;&gt;"",(Dermal_Exp[[#This Row],[High-End Exposure to Liquid]]+Dermal_Exp[[#This Row],[High-End Exposure to Solids]]),"Not Assessed")</f>
        <v>4.5129999999999997E-3</v>
      </c>
      <c r="K37" s="256">
        <f>IF(Dermal_Exp[[#This Row],[Worker Type]]&lt;&gt;"",(Dermal_Exp[[#This Row],[ Central Tendency Exposure to Liquids]]+Dermal_Exp[[#This Row],[Central Tendency  Exposure to Solids]]),"Not Assessed")</f>
        <v>2.2560000000000002E-3</v>
      </c>
      <c r="L37" s="259">
        <f>IFERROR(Dermal_Exp[[#This Row],[High-End AD (mg/kg-day)]]*IF(Dermal_Exp[[#This Row],[ED_High-End]]&gt;EFID,EFID,Dermal_Exp[[#This Row],[ED_High-End]])/ID,"Not Assessed")</f>
        <v>3.3095333333333326E-3</v>
      </c>
      <c r="M37" s="259">
        <f>IFERROR(Dermal_Exp[[#This Row],[Central Tendency AD (mg/kg-day)]]*IF(Dermal_Exp[[#This Row],[ED_Central Tendency]]&gt;EFID,EFID,Dermal_Exp[[#This Row],[ED_Central Tendency]])/ID,"Not Assessed")</f>
        <v>1.6544000000000001E-3</v>
      </c>
      <c r="N37" s="273">
        <f>IFERROR(Dermal_Exp[[#This Row],[High-End AD (mg/kg-day)]]*Dermal_Exp[[#This Row],[ED_High-End]]*WY_high/(365*WY_high),"Not Assessed")</f>
        <v>3.0910958904109588E-3</v>
      </c>
      <c r="O37" s="273">
        <f>IFERROR(Dermal_Exp[[#This Row],[Central Tendency AD (mg/kg-day)]]*Dermal_Exp[[#This Row],[ED_Central Tendency]]*WY_mid/(365*WY_mid),"Not Assessed")</f>
        <v>1.4339506849315069E-3</v>
      </c>
    </row>
    <row r="38" spans="1:15" ht="30" x14ac:dyDescent="0.2">
      <c r="A38" s="267">
        <v>4</v>
      </c>
      <c r="B38" s="263" t="s">
        <v>166</v>
      </c>
      <c r="C38" s="248" t="s">
        <v>96</v>
      </c>
      <c r="D38" s="11">
        <v>250</v>
      </c>
      <c r="E38" s="11">
        <v>232</v>
      </c>
      <c r="F38" s="256">
        <v>4.1479999999999998E-3</v>
      </c>
      <c r="G38" s="256">
        <v>2.0739999999999999E-3</v>
      </c>
      <c r="H38" s="256"/>
      <c r="I38" s="256"/>
      <c r="J38" s="260">
        <f>IF(Dermal_Exp[[#This Row],[Worker Type]]&lt;&gt;"",(Dermal_Exp[[#This Row],[High-End Exposure to Liquid]]+Dermal_Exp[[#This Row],[High-End Exposure to Solids]]),"Not Assessed")</f>
        <v>4.1479999999999998E-3</v>
      </c>
      <c r="K38" s="256">
        <f>IF(Dermal_Exp[[#This Row],[Worker Type]]&lt;&gt;"",(Dermal_Exp[[#This Row],[ Central Tendency Exposure to Liquids]]+Dermal_Exp[[#This Row],[Central Tendency  Exposure to Solids]]),"Not Assessed")</f>
        <v>2.0739999999999999E-3</v>
      </c>
      <c r="L38" s="259">
        <f>IFERROR(Dermal_Exp[[#This Row],[High-End AD (mg/kg-day)]]*IF(Dermal_Exp[[#This Row],[ED_High-End]]&gt;EFID,EFID,Dermal_Exp[[#This Row],[ED_High-End]])/ID,"Not Assessed")</f>
        <v>3.0418666666666662E-3</v>
      </c>
      <c r="M38" s="259">
        <f>IFERROR(Dermal_Exp[[#This Row],[Central Tendency AD (mg/kg-day)]]*IF(Dermal_Exp[[#This Row],[ED_Central Tendency]]&gt;EFID,EFID,Dermal_Exp[[#This Row],[ED_Central Tendency]])/ID,"Not Assessed")</f>
        <v>1.5209333333333331E-3</v>
      </c>
      <c r="N38" s="256">
        <f>IFERROR(Dermal_Exp[[#This Row],[High-End AD (mg/kg-day)]]*Dermal_Exp[[#This Row],[ED_High-End]]*WY_high/(365*WY_high),"Not Assessed")</f>
        <v>2.8410958904109586E-3</v>
      </c>
      <c r="O38" s="256">
        <f>IFERROR(Dermal_Exp[[#This Row],[Central Tendency AD (mg/kg-day)]]*Dermal_Exp[[#This Row],[ED_Central Tendency]]*WY_mid/(365*WY_mid),"Not Assessed")</f>
        <v>1.3182684931506848E-3</v>
      </c>
    </row>
    <row r="39" spans="1:15" ht="30" x14ac:dyDescent="0.2">
      <c r="A39" s="267">
        <v>4</v>
      </c>
      <c r="B39" s="263" t="s">
        <v>167</v>
      </c>
      <c r="C39" s="248" t="s">
        <v>52</v>
      </c>
      <c r="D39" s="11">
        <v>250</v>
      </c>
      <c r="E39" s="11">
        <v>232</v>
      </c>
      <c r="F39" s="256"/>
      <c r="G39" s="256"/>
      <c r="H39" s="256">
        <v>4.5129999999999997E-3</v>
      </c>
      <c r="I39" s="256">
        <v>2.2560000000000002E-3</v>
      </c>
      <c r="J39" s="260">
        <f>IF(Dermal_Exp[[#This Row],[Worker Type]]&lt;&gt;"",(Dermal_Exp[[#This Row],[High-End Exposure to Liquid]]+Dermal_Exp[[#This Row],[High-End Exposure to Solids]]),"Not Assessed")</f>
        <v>4.5129999999999997E-3</v>
      </c>
      <c r="K39" s="256">
        <f>IF(Dermal_Exp[[#This Row],[Worker Type]]&lt;&gt;"",(Dermal_Exp[[#This Row],[ Central Tendency Exposure to Liquids]]+Dermal_Exp[[#This Row],[Central Tendency  Exposure to Solids]]),"Not Assessed")</f>
        <v>2.2560000000000002E-3</v>
      </c>
      <c r="L39" s="259">
        <f>IFERROR(Dermal_Exp[[#This Row],[High-End AD (mg/kg-day)]]*IF(Dermal_Exp[[#This Row],[ED_High-End]]&gt;EFID,EFID,Dermal_Exp[[#This Row],[ED_High-End]])/ID,"Not Assessed")</f>
        <v>3.3095333333333326E-3</v>
      </c>
      <c r="M39" s="259">
        <f>IFERROR(Dermal_Exp[[#This Row],[Central Tendency AD (mg/kg-day)]]*IF(Dermal_Exp[[#This Row],[ED_Central Tendency]]&gt;EFID,EFID,Dermal_Exp[[#This Row],[ED_Central Tendency]])/ID,"Not Assessed")</f>
        <v>1.6544000000000001E-3</v>
      </c>
      <c r="N39" s="256">
        <f>IFERROR(Dermal_Exp[[#This Row],[High-End AD (mg/kg-day)]]*Dermal_Exp[[#This Row],[ED_High-End]]*WY_high/(365*WY_high),"Not Assessed")</f>
        <v>3.0910958904109588E-3</v>
      </c>
      <c r="O39" s="256">
        <f>IFERROR(Dermal_Exp[[#This Row],[Central Tendency AD (mg/kg-day)]]*Dermal_Exp[[#This Row],[ED_Central Tendency]]*WY_mid/(365*WY_mid),"Not Assessed")</f>
        <v>1.4339506849315069E-3</v>
      </c>
    </row>
    <row r="40" spans="1:15" ht="30" x14ac:dyDescent="0.2">
      <c r="A40" s="267">
        <v>4</v>
      </c>
      <c r="B40" s="263" t="s">
        <v>167</v>
      </c>
      <c r="C40" s="248" t="s">
        <v>96</v>
      </c>
      <c r="D40" s="11">
        <v>250</v>
      </c>
      <c r="E40" s="11">
        <v>232</v>
      </c>
      <c r="F40" s="288"/>
      <c r="G40" s="288"/>
      <c r="H40" s="256">
        <v>4.1479999999999998E-3</v>
      </c>
      <c r="I40" s="256">
        <v>2.0739999999999999E-3</v>
      </c>
      <c r="J40" s="260">
        <f>IF(Dermal_Exp[[#This Row],[Worker Type]]&lt;&gt;"",(Dermal_Exp[[#This Row],[High-End Exposure to Liquid]]+Dermal_Exp[[#This Row],[High-End Exposure to Solids]]),"Not Assessed")</f>
        <v>4.1479999999999998E-3</v>
      </c>
      <c r="K40" s="256">
        <f>IF(Dermal_Exp[[#This Row],[Worker Type]]&lt;&gt;"",(Dermal_Exp[[#This Row],[ Central Tendency Exposure to Liquids]]+Dermal_Exp[[#This Row],[Central Tendency  Exposure to Solids]]),"Not Assessed")</f>
        <v>2.0739999999999999E-3</v>
      </c>
      <c r="L40" s="259">
        <f>IFERROR(Dermal_Exp[[#This Row],[High-End AD (mg/kg-day)]]*IF(Dermal_Exp[[#This Row],[ED_High-End]]&gt;EFID,EFID,Dermal_Exp[[#This Row],[ED_High-End]])/ID,"Not Assessed")</f>
        <v>3.0418666666666662E-3</v>
      </c>
      <c r="M40" s="259">
        <f>IFERROR(Dermal_Exp[[#This Row],[Central Tendency AD (mg/kg-day)]]*IF(Dermal_Exp[[#This Row],[ED_Central Tendency]]&gt;EFID,EFID,Dermal_Exp[[#This Row],[ED_Central Tendency]])/ID,"Not Assessed")</f>
        <v>1.5209333333333331E-3</v>
      </c>
      <c r="N40" s="256">
        <f>IFERROR(Dermal_Exp[[#This Row],[High-End AD (mg/kg-day)]]*Dermal_Exp[[#This Row],[ED_High-End]]*WY_high/(365*WY_high),"Not Assessed")</f>
        <v>2.8410958904109586E-3</v>
      </c>
      <c r="O40" s="256">
        <f>IFERROR(Dermal_Exp[[#This Row],[Central Tendency AD (mg/kg-day)]]*Dermal_Exp[[#This Row],[ED_Central Tendency]]*WY_mid/(365*WY_mid),"Not Assessed")</f>
        <v>1.3182684931506848E-3</v>
      </c>
    </row>
    <row r="41" spans="1:15" ht="30" x14ac:dyDescent="0.2">
      <c r="A41" s="267">
        <v>4</v>
      </c>
      <c r="B41" s="263" t="s">
        <v>167</v>
      </c>
      <c r="C41" s="248" t="s">
        <v>69</v>
      </c>
      <c r="D41" s="272">
        <v>250</v>
      </c>
      <c r="E41" s="274">
        <v>232</v>
      </c>
      <c r="F41" s="256"/>
      <c r="G41" s="256"/>
      <c r="H41" s="249">
        <v>1.12885E-3</v>
      </c>
      <c r="I41" s="249">
        <v>1.12885E-3</v>
      </c>
      <c r="J41" s="260">
        <f>IF(Dermal_Exp[[#This Row],[Worker Type]]&lt;&gt;"",(Dermal_Exp[[#This Row],[High-End Exposure to Liquid]]+Dermal_Exp[[#This Row],[High-End Exposure to Solids]]),"Not Assessed")</f>
        <v>1.12885E-3</v>
      </c>
      <c r="K41" s="256">
        <f>IF(Dermal_Exp[[#This Row],[Worker Type]]&lt;&gt;"",(Dermal_Exp[[#This Row],[ Central Tendency Exposure to Liquids]]+Dermal_Exp[[#This Row],[Central Tendency  Exposure to Solids]]),"Not Assessed")</f>
        <v>1.12885E-3</v>
      </c>
      <c r="L41" s="259">
        <f>IFERROR(Dermal_Exp[[#This Row],[High-End AD (mg/kg-day)]]*IF(Dermal_Exp[[#This Row],[ED_High-End]]&gt;EFID,EFID,Dermal_Exp[[#This Row],[ED_High-End]])/ID,"Not Assessed")</f>
        <v>8.2782333333333337E-4</v>
      </c>
      <c r="M41" s="259">
        <f>IFERROR(Dermal_Exp[[#This Row],[Central Tendency AD (mg/kg-day)]]*IF(Dermal_Exp[[#This Row],[ED_Central Tendency]]&gt;EFID,EFID,Dermal_Exp[[#This Row],[ED_Central Tendency]])/ID,"Not Assessed")</f>
        <v>8.2782333333333337E-4</v>
      </c>
      <c r="N41" s="273">
        <f>IFERROR(Dermal_Exp[[#This Row],[High-End AD (mg/kg-day)]]*Dermal_Exp[[#This Row],[ED_High-End]]*WY_high/(365*WY_high),"Not Assessed")</f>
        <v>7.7318493150684941E-4</v>
      </c>
      <c r="O41" s="273">
        <f>IFERROR(Dermal_Exp[[#This Row],[Central Tendency AD (mg/kg-day)]]*Dermal_Exp[[#This Row],[ED_Central Tendency]]*WY_mid/(365*WY_mid),"Not Assessed")</f>
        <v>7.1751561643835615E-4</v>
      </c>
    </row>
    <row r="42" spans="1:15" ht="15" x14ac:dyDescent="0.2">
      <c r="A42" s="267">
        <v>5</v>
      </c>
      <c r="B42" s="263" t="s">
        <v>168</v>
      </c>
      <c r="C42" s="248" t="s">
        <v>52</v>
      </c>
      <c r="D42" s="272">
        <v>250</v>
      </c>
      <c r="E42" s="274">
        <v>235</v>
      </c>
      <c r="F42" s="256">
        <v>4.5129999999999997E-3</v>
      </c>
      <c r="G42" s="256">
        <v>2.2560000000000002E-3</v>
      </c>
      <c r="H42" s="256"/>
      <c r="I42" s="273"/>
      <c r="J42" s="260">
        <f>IF(Dermal_Exp[[#This Row],[Worker Type]]&lt;&gt;"",(Dermal_Exp[[#This Row],[High-End Exposure to Liquid]]+Dermal_Exp[[#This Row],[High-End Exposure to Solids]]),"Not Assessed")</f>
        <v>4.5129999999999997E-3</v>
      </c>
      <c r="K42" s="256">
        <f>IF(Dermal_Exp[[#This Row],[Worker Type]]&lt;&gt;"",(Dermal_Exp[[#This Row],[ Central Tendency Exposure to Liquids]]+Dermal_Exp[[#This Row],[Central Tendency  Exposure to Solids]]),"Not Assessed")</f>
        <v>2.2560000000000002E-3</v>
      </c>
      <c r="L42" s="259">
        <f>IFERROR(Dermal_Exp[[#This Row],[High-End AD (mg/kg-day)]]*IF(Dermal_Exp[[#This Row],[ED_High-End]]&gt;EFID,EFID,Dermal_Exp[[#This Row],[ED_High-End]])/ID,"Not Assessed")</f>
        <v>3.3095333333333326E-3</v>
      </c>
      <c r="M42" s="259">
        <f>IFERROR(Dermal_Exp[[#This Row],[Central Tendency AD (mg/kg-day)]]*IF(Dermal_Exp[[#This Row],[ED_Central Tendency]]&gt;EFID,EFID,Dermal_Exp[[#This Row],[ED_Central Tendency]])/ID,"Not Assessed")</f>
        <v>1.6544000000000001E-3</v>
      </c>
      <c r="N42" s="256">
        <f>IFERROR(Dermal_Exp[[#This Row],[High-End AD (mg/kg-day)]]*Dermal_Exp[[#This Row],[ED_High-End]]*WY_high/(365*WY_high),"Not Assessed")</f>
        <v>3.0910958904109588E-3</v>
      </c>
      <c r="O42" s="256">
        <f>IFERROR(Dermal_Exp[[#This Row],[Central Tendency AD (mg/kg-day)]]*Dermal_Exp[[#This Row],[ED_Central Tendency]]*WY_mid/(365*WY_mid),"Not Assessed")</f>
        <v>1.4524931506849318E-3</v>
      </c>
    </row>
    <row r="43" spans="1:15" ht="15" x14ac:dyDescent="0.2">
      <c r="A43" s="267">
        <v>5</v>
      </c>
      <c r="B43" s="263" t="s">
        <v>168</v>
      </c>
      <c r="C43" s="248" t="s">
        <v>96</v>
      </c>
      <c r="D43" s="272">
        <v>250</v>
      </c>
      <c r="E43" s="274">
        <v>235</v>
      </c>
      <c r="F43" s="256">
        <v>4.1479999999999998E-3</v>
      </c>
      <c r="G43" s="256">
        <v>2.0739999999999999E-3</v>
      </c>
      <c r="H43" s="256"/>
      <c r="I43" s="256"/>
      <c r="J43" s="260">
        <f>IF(Dermal_Exp[[#This Row],[Worker Type]]&lt;&gt;"",(Dermal_Exp[[#This Row],[High-End Exposure to Liquid]]+Dermal_Exp[[#This Row],[High-End Exposure to Solids]]),"Not Assessed")</f>
        <v>4.1479999999999998E-3</v>
      </c>
      <c r="K43" s="256">
        <f>IF(Dermal_Exp[[#This Row],[Worker Type]]&lt;&gt;"",(Dermal_Exp[[#This Row],[ Central Tendency Exposure to Liquids]]+Dermal_Exp[[#This Row],[Central Tendency  Exposure to Solids]]),"Not Assessed")</f>
        <v>2.0739999999999999E-3</v>
      </c>
      <c r="L43" s="259">
        <f>IFERROR(Dermal_Exp[[#This Row],[High-End AD (mg/kg-day)]]*IF(Dermal_Exp[[#This Row],[ED_High-End]]&gt;EFID,EFID,Dermal_Exp[[#This Row],[ED_High-End]])/ID,"Not Assessed")</f>
        <v>3.0418666666666662E-3</v>
      </c>
      <c r="M43" s="259">
        <f>IFERROR(Dermal_Exp[[#This Row],[Central Tendency AD (mg/kg-day)]]*IF(Dermal_Exp[[#This Row],[ED_Central Tendency]]&gt;EFID,EFID,Dermal_Exp[[#This Row],[ED_Central Tendency]])/ID,"Not Assessed")</f>
        <v>1.5209333333333331E-3</v>
      </c>
      <c r="N43" s="256">
        <f>IFERROR(Dermal_Exp[[#This Row],[High-End AD (mg/kg-day)]]*Dermal_Exp[[#This Row],[ED_High-End]]*WY_high/(365*WY_high),"Not Assessed")</f>
        <v>2.8410958904109586E-3</v>
      </c>
      <c r="O43" s="256">
        <f>IFERROR(Dermal_Exp[[#This Row],[Central Tendency AD (mg/kg-day)]]*Dermal_Exp[[#This Row],[ED_Central Tendency]]*WY_mid/(365*WY_mid),"Not Assessed")</f>
        <v>1.3353150684931507E-3</v>
      </c>
    </row>
    <row r="44" spans="1:15" ht="15" x14ac:dyDescent="0.2">
      <c r="A44" s="267">
        <v>5</v>
      </c>
      <c r="B44" s="263" t="s">
        <v>169</v>
      </c>
      <c r="C44" s="248" t="s">
        <v>52</v>
      </c>
      <c r="D44" s="272">
        <v>250</v>
      </c>
      <c r="E44" s="274">
        <v>235</v>
      </c>
      <c r="F44" s="256"/>
      <c r="G44" s="256"/>
      <c r="H44" s="256">
        <v>4.5129999999999997E-3</v>
      </c>
      <c r="I44" s="256">
        <v>2.2560000000000002E-3</v>
      </c>
      <c r="J44" s="260">
        <f>IF(Dermal_Exp[[#This Row],[Worker Type]]&lt;&gt;"",(Dermal_Exp[[#This Row],[High-End Exposure to Liquid]]+Dermal_Exp[[#This Row],[High-End Exposure to Solids]]),"Not Assessed")</f>
        <v>4.5129999999999997E-3</v>
      </c>
      <c r="K44" s="256">
        <f>IF(Dermal_Exp[[#This Row],[Worker Type]]&lt;&gt;"",(Dermal_Exp[[#This Row],[ Central Tendency Exposure to Liquids]]+Dermal_Exp[[#This Row],[Central Tendency  Exposure to Solids]]),"Not Assessed")</f>
        <v>2.2560000000000002E-3</v>
      </c>
      <c r="L44" s="259">
        <f>IFERROR(Dermal_Exp[[#This Row],[High-End AD (mg/kg-day)]]*IF(Dermal_Exp[[#This Row],[ED_High-End]]&gt;EFID,EFID,Dermal_Exp[[#This Row],[ED_High-End]])/ID,"Not Assessed")</f>
        <v>3.3095333333333326E-3</v>
      </c>
      <c r="M44" s="259">
        <f>IFERROR(Dermal_Exp[[#This Row],[Central Tendency AD (mg/kg-day)]]*IF(Dermal_Exp[[#This Row],[ED_Central Tendency]]&gt;EFID,EFID,Dermal_Exp[[#This Row],[ED_Central Tendency]])/ID,"Not Assessed")</f>
        <v>1.6544000000000001E-3</v>
      </c>
      <c r="N44" s="273">
        <f>IFERROR(Dermal_Exp[[#This Row],[High-End AD (mg/kg-day)]]*Dermal_Exp[[#This Row],[ED_High-End]]*WY_high/(365*WY_high),"Not Assessed")</f>
        <v>3.0910958904109588E-3</v>
      </c>
      <c r="O44" s="273">
        <f>IFERROR(Dermal_Exp[[#This Row],[Central Tendency AD (mg/kg-day)]]*Dermal_Exp[[#This Row],[ED_Central Tendency]]*WY_mid/(365*WY_mid),"Not Assessed")</f>
        <v>1.4524931506849318E-3</v>
      </c>
    </row>
    <row r="45" spans="1:15" ht="15" x14ac:dyDescent="0.2">
      <c r="A45" s="267">
        <v>5</v>
      </c>
      <c r="B45" s="263" t="s">
        <v>169</v>
      </c>
      <c r="C45" s="248" t="s">
        <v>96</v>
      </c>
      <c r="D45" s="272">
        <v>250</v>
      </c>
      <c r="E45" s="274">
        <v>235</v>
      </c>
      <c r="F45" s="288"/>
      <c r="G45" s="288"/>
      <c r="H45" s="256">
        <v>4.1479999999999998E-3</v>
      </c>
      <c r="I45" s="256">
        <v>2.0739999999999999E-3</v>
      </c>
      <c r="J45" s="260">
        <f>IF(Dermal_Exp[[#This Row],[Worker Type]]&lt;&gt;"",(Dermal_Exp[[#This Row],[High-End Exposure to Liquid]]+Dermal_Exp[[#This Row],[High-End Exposure to Solids]]),"Not Assessed")</f>
        <v>4.1479999999999998E-3</v>
      </c>
      <c r="K45" s="256">
        <f>IF(Dermal_Exp[[#This Row],[Worker Type]]&lt;&gt;"",(Dermal_Exp[[#This Row],[ Central Tendency Exposure to Liquids]]+Dermal_Exp[[#This Row],[Central Tendency  Exposure to Solids]]),"Not Assessed")</f>
        <v>2.0739999999999999E-3</v>
      </c>
      <c r="L45" s="259">
        <f>IFERROR(Dermal_Exp[[#This Row],[High-End AD (mg/kg-day)]]*IF(Dermal_Exp[[#This Row],[ED_High-End]]&gt;EFID,EFID,Dermal_Exp[[#This Row],[ED_High-End]])/ID,"Not Assessed")</f>
        <v>3.0418666666666662E-3</v>
      </c>
      <c r="M45" s="259">
        <f>IFERROR(Dermal_Exp[[#This Row],[Central Tendency AD (mg/kg-day)]]*IF(Dermal_Exp[[#This Row],[ED_Central Tendency]]&gt;EFID,EFID,Dermal_Exp[[#This Row],[ED_Central Tendency]])/ID,"Not Assessed")</f>
        <v>1.5209333333333331E-3</v>
      </c>
      <c r="N45" s="256">
        <f>IFERROR(Dermal_Exp[[#This Row],[High-End AD (mg/kg-day)]]*Dermal_Exp[[#This Row],[ED_High-End]]*WY_high/(365*WY_high),"Not Assessed")</f>
        <v>2.8410958904109586E-3</v>
      </c>
      <c r="O45" s="256">
        <f>IFERROR(Dermal_Exp[[#This Row],[Central Tendency AD (mg/kg-day)]]*Dermal_Exp[[#This Row],[ED_Central Tendency]]*WY_mid/(365*WY_mid),"Not Assessed")</f>
        <v>1.3353150684931507E-3</v>
      </c>
    </row>
    <row r="46" spans="1:15" ht="15" x14ac:dyDescent="0.2">
      <c r="A46" s="267">
        <v>5</v>
      </c>
      <c r="B46" s="263" t="s">
        <v>169</v>
      </c>
      <c r="C46" s="248" t="s">
        <v>69</v>
      </c>
      <c r="D46" s="272">
        <v>250</v>
      </c>
      <c r="E46" s="274">
        <v>235</v>
      </c>
      <c r="F46" s="256"/>
      <c r="G46" s="256"/>
      <c r="H46" s="249">
        <v>1.12885E-3</v>
      </c>
      <c r="I46" s="249">
        <v>1.12885E-3</v>
      </c>
      <c r="J46" s="260">
        <f>IF(Dermal_Exp[[#This Row],[Worker Type]]&lt;&gt;"",(Dermal_Exp[[#This Row],[High-End Exposure to Liquid]]+Dermal_Exp[[#This Row],[High-End Exposure to Solids]]),"Not Assessed")</f>
        <v>1.12885E-3</v>
      </c>
      <c r="K46" s="256">
        <f>IF(Dermal_Exp[[#This Row],[Worker Type]]&lt;&gt;"",(Dermal_Exp[[#This Row],[ Central Tendency Exposure to Liquids]]+Dermal_Exp[[#This Row],[Central Tendency  Exposure to Solids]]),"Not Assessed")</f>
        <v>1.12885E-3</v>
      </c>
      <c r="L46" s="259">
        <f>IFERROR(Dermal_Exp[[#This Row],[High-End AD (mg/kg-day)]]*IF(Dermal_Exp[[#This Row],[ED_High-End]]&gt;EFID,EFID,Dermal_Exp[[#This Row],[ED_High-End]])/ID,"Not Assessed")</f>
        <v>8.2782333333333337E-4</v>
      </c>
      <c r="M46" s="259">
        <f>IFERROR(Dermal_Exp[[#This Row],[Central Tendency AD (mg/kg-day)]]*IF(Dermal_Exp[[#This Row],[ED_Central Tendency]]&gt;EFID,EFID,Dermal_Exp[[#This Row],[ED_Central Tendency]])/ID,"Not Assessed")</f>
        <v>8.2782333333333337E-4</v>
      </c>
      <c r="N46" s="256">
        <f>IFERROR(Dermal_Exp[[#This Row],[High-End AD (mg/kg-day)]]*Dermal_Exp[[#This Row],[ED_High-End]]*WY_high/(365*WY_high),"Not Assessed")</f>
        <v>7.7318493150684941E-4</v>
      </c>
      <c r="O46" s="256">
        <f>IFERROR(Dermal_Exp[[#This Row],[Central Tendency AD (mg/kg-day)]]*Dermal_Exp[[#This Row],[ED_Central Tendency]]*WY_mid/(365*WY_mid),"Not Assessed")</f>
        <v>7.2679383561643834E-4</v>
      </c>
    </row>
    <row r="47" spans="1:15" ht="15" x14ac:dyDescent="0.2">
      <c r="A47" s="267">
        <v>6</v>
      </c>
      <c r="B47" s="263" t="s">
        <v>170</v>
      </c>
      <c r="C47" s="248" t="s">
        <v>52</v>
      </c>
      <c r="D47" s="272">
        <v>250</v>
      </c>
      <c r="E47" s="275">
        <v>223</v>
      </c>
      <c r="F47" s="256"/>
      <c r="G47" s="256"/>
      <c r="H47" s="256">
        <v>4.5129999999999997E-3</v>
      </c>
      <c r="I47" s="256">
        <v>2.2560000000000002E-3</v>
      </c>
      <c r="J47" s="260">
        <f>IF(Dermal_Exp[[#This Row],[Worker Type]]&lt;&gt;"",(Dermal_Exp[[#This Row],[High-End Exposure to Liquid]]+Dermal_Exp[[#This Row],[High-End Exposure to Solids]]),"Not Assessed")</f>
        <v>4.5129999999999997E-3</v>
      </c>
      <c r="K47" s="256">
        <f>IF(Dermal_Exp[[#This Row],[Worker Type]]&lt;&gt;"",(Dermal_Exp[[#This Row],[ Central Tendency Exposure to Liquids]]+Dermal_Exp[[#This Row],[Central Tendency  Exposure to Solids]]),"Not Assessed")</f>
        <v>2.2560000000000002E-3</v>
      </c>
      <c r="L47" s="259">
        <f>IFERROR(Dermal_Exp[[#This Row],[High-End AD (mg/kg-day)]]*IF(Dermal_Exp[[#This Row],[ED_High-End]]&gt;EFID,EFID,Dermal_Exp[[#This Row],[ED_High-End]])/ID,"Not Assessed")</f>
        <v>3.3095333333333326E-3</v>
      </c>
      <c r="M47" s="259">
        <f>IFERROR(Dermal_Exp[[#This Row],[Central Tendency AD (mg/kg-day)]]*IF(Dermal_Exp[[#This Row],[ED_Central Tendency]]&gt;EFID,EFID,Dermal_Exp[[#This Row],[ED_Central Tendency]])/ID,"Not Assessed")</f>
        <v>1.6544000000000001E-3</v>
      </c>
      <c r="N47" s="256">
        <f>IFERROR(Dermal_Exp[[#This Row],[High-End AD (mg/kg-day)]]*Dermal_Exp[[#This Row],[ED_High-End]]*WY_high/(365*WY_high),"Not Assessed")</f>
        <v>3.0910958904109588E-3</v>
      </c>
      <c r="O47" s="256">
        <f>IFERROR(Dermal_Exp[[#This Row],[Central Tendency AD (mg/kg-day)]]*Dermal_Exp[[#This Row],[ED_Central Tendency]]*WY_mid/(365*WY_mid),"Not Assessed")</f>
        <v>1.3783232876712331E-3</v>
      </c>
    </row>
    <row r="48" spans="1:15" ht="15" x14ac:dyDescent="0.2">
      <c r="A48" s="267">
        <v>6</v>
      </c>
      <c r="B48" s="263" t="s">
        <v>170</v>
      </c>
      <c r="C48" s="248" t="s">
        <v>96</v>
      </c>
      <c r="D48" s="272">
        <v>250</v>
      </c>
      <c r="E48" s="275">
        <v>223</v>
      </c>
      <c r="F48" s="256"/>
      <c r="G48" s="256"/>
      <c r="H48" s="256">
        <v>4.1479999999999998E-3</v>
      </c>
      <c r="I48" s="256">
        <v>2.0739999999999999E-3</v>
      </c>
      <c r="J48" s="260">
        <f>IF(Dermal_Exp[[#This Row],[Worker Type]]&lt;&gt;"",(Dermal_Exp[[#This Row],[High-End Exposure to Liquid]]+Dermal_Exp[[#This Row],[High-End Exposure to Solids]]),"Not Assessed")</f>
        <v>4.1479999999999998E-3</v>
      </c>
      <c r="K48" s="256">
        <f>IF(Dermal_Exp[[#This Row],[Worker Type]]&lt;&gt;"",(Dermal_Exp[[#This Row],[ Central Tendency Exposure to Liquids]]+Dermal_Exp[[#This Row],[Central Tendency  Exposure to Solids]]),"Not Assessed")</f>
        <v>2.0739999999999999E-3</v>
      </c>
      <c r="L48" s="259">
        <f>IFERROR(Dermal_Exp[[#This Row],[High-End AD (mg/kg-day)]]*IF(Dermal_Exp[[#This Row],[ED_High-End]]&gt;EFID,EFID,Dermal_Exp[[#This Row],[ED_High-End]])/ID,"Not Assessed")</f>
        <v>3.0418666666666662E-3</v>
      </c>
      <c r="M48" s="259">
        <f>IFERROR(Dermal_Exp[[#This Row],[Central Tendency AD (mg/kg-day)]]*IF(Dermal_Exp[[#This Row],[ED_Central Tendency]]&gt;EFID,EFID,Dermal_Exp[[#This Row],[ED_Central Tendency]])/ID,"Not Assessed")</f>
        <v>1.5209333333333331E-3</v>
      </c>
      <c r="N48" s="256">
        <f>IFERROR(Dermal_Exp[[#This Row],[High-End AD (mg/kg-day)]]*Dermal_Exp[[#This Row],[ED_High-End]]*WY_high/(365*WY_high),"Not Assessed")</f>
        <v>2.8410958904109586E-3</v>
      </c>
      <c r="O48" s="256">
        <f>IFERROR(Dermal_Exp[[#This Row],[Central Tendency AD (mg/kg-day)]]*Dermal_Exp[[#This Row],[ED_Central Tendency]]*WY_mid/(365*WY_mid),"Not Assessed")</f>
        <v>1.2671287671232876E-3</v>
      </c>
    </row>
    <row r="49" spans="1:15" ht="15" x14ac:dyDescent="0.2">
      <c r="A49" s="267">
        <v>6</v>
      </c>
      <c r="B49" s="263" t="s">
        <v>170</v>
      </c>
      <c r="C49" s="248" t="s">
        <v>69</v>
      </c>
      <c r="D49" s="272">
        <v>250</v>
      </c>
      <c r="E49" s="275">
        <v>223</v>
      </c>
      <c r="F49" s="256"/>
      <c r="G49" s="256"/>
      <c r="H49" s="249">
        <v>1.12885E-3</v>
      </c>
      <c r="I49" s="249">
        <v>1.12885E-3</v>
      </c>
      <c r="J49" s="260">
        <f>IF(Dermal_Exp[[#This Row],[Worker Type]]&lt;&gt;"",(Dermal_Exp[[#This Row],[High-End Exposure to Liquid]]+Dermal_Exp[[#This Row],[High-End Exposure to Solids]]),"Not Assessed")</f>
        <v>1.12885E-3</v>
      </c>
      <c r="K49" s="256">
        <f>IF(Dermal_Exp[[#This Row],[Worker Type]]&lt;&gt;"",(Dermal_Exp[[#This Row],[ Central Tendency Exposure to Liquids]]+Dermal_Exp[[#This Row],[Central Tendency  Exposure to Solids]]),"Not Assessed")</f>
        <v>1.12885E-3</v>
      </c>
      <c r="L49" s="259">
        <f>IFERROR(Dermal_Exp[[#This Row],[High-End AD (mg/kg-day)]]*IF(Dermal_Exp[[#This Row],[ED_High-End]]&gt;EFID,EFID,Dermal_Exp[[#This Row],[ED_High-End]])/ID,"Not Assessed")</f>
        <v>8.2782333333333337E-4</v>
      </c>
      <c r="M49" s="259">
        <f>IFERROR(Dermal_Exp[[#This Row],[Central Tendency AD (mg/kg-day)]]*IF(Dermal_Exp[[#This Row],[ED_Central Tendency]]&gt;EFID,EFID,Dermal_Exp[[#This Row],[ED_Central Tendency]])/ID,"Not Assessed")</f>
        <v>8.2782333333333337E-4</v>
      </c>
      <c r="N49" s="256">
        <f>IFERROR(Dermal_Exp[[#This Row],[High-End AD (mg/kg-day)]]*Dermal_Exp[[#This Row],[ED_High-End]]*WY_high/(365*WY_high),"Not Assessed")</f>
        <v>7.7318493150684941E-4</v>
      </c>
      <c r="O49" s="256">
        <f>IFERROR(Dermal_Exp[[#This Row],[Central Tendency AD (mg/kg-day)]]*Dermal_Exp[[#This Row],[ED_Central Tendency]]*WY_mid/(365*WY_mid),"Not Assessed")</f>
        <v>6.8968095890410968E-4</v>
      </c>
    </row>
    <row r="50" spans="1:15" ht="30" x14ac:dyDescent="0.2">
      <c r="A50" s="267">
        <v>6</v>
      </c>
      <c r="B50" s="263" t="s">
        <v>171</v>
      </c>
      <c r="C50" s="248" t="s">
        <v>52</v>
      </c>
      <c r="D50" s="272">
        <v>250</v>
      </c>
      <c r="E50" s="272">
        <v>250</v>
      </c>
      <c r="F50" s="256"/>
      <c r="G50" s="256"/>
      <c r="H50" s="256">
        <v>4.5129999999999997E-3</v>
      </c>
      <c r="I50" s="256">
        <v>2.2560000000000002E-3</v>
      </c>
      <c r="J50" s="260">
        <f>IF(Dermal_Exp[[#This Row],[Worker Type]]&lt;&gt;"",(Dermal_Exp[[#This Row],[High-End Exposure to Liquid]]+Dermal_Exp[[#This Row],[High-End Exposure to Solids]]),"Not Assessed")</f>
        <v>4.5129999999999997E-3</v>
      </c>
      <c r="K50" s="256">
        <f>IF(Dermal_Exp[[#This Row],[Worker Type]]&lt;&gt;"",(Dermal_Exp[[#This Row],[ Central Tendency Exposure to Liquids]]+Dermal_Exp[[#This Row],[Central Tendency  Exposure to Solids]]),"Not Assessed")</f>
        <v>2.2560000000000002E-3</v>
      </c>
      <c r="L50" s="259">
        <f>IFERROR(Dermal_Exp[[#This Row],[High-End AD (mg/kg-day)]]*IF(Dermal_Exp[[#This Row],[ED_High-End]]&gt;EFID,EFID,Dermal_Exp[[#This Row],[ED_High-End]])/ID,"Not Assessed")</f>
        <v>3.3095333333333326E-3</v>
      </c>
      <c r="M50" s="259">
        <f>IFERROR(Dermal_Exp[[#This Row],[Central Tendency AD (mg/kg-day)]]*IF(Dermal_Exp[[#This Row],[ED_Central Tendency]]&gt;EFID,EFID,Dermal_Exp[[#This Row],[ED_Central Tendency]])/ID,"Not Assessed")</f>
        <v>1.6544000000000001E-3</v>
      </c>
      <c r="N50" s="256">
        <f>IFERROR(Dermal_Exp[[#This Row],[High-End AD (mg/kg-day)]]*Dermal_Exp[[#This Row],[ED_High-End]]*WY_high/(365*WY_high),"Not Assessed")</f>
        <v>3.0910958904109588E-3</v>
      </c>
      <c r="O50" s="256">
        <f>IFERROR(Dermal_Exp[[#This Row],[Central Tendency AD (mg/kg-day)]]*Dermal_Exp[[#This Row],[ED_Central Tendency]]*WY_mid/(365*WY_mid),"Not Assessed")</f>
        <v>1.5452054794520549E-3</v>
      </c>
    </row>
    <row r="51" spans="1:15" ht="30" x14ac:dyDescent="0.2">
      <c r="A51" s="267">
        <v>6</v>
      </c>
      <c r="B51" s="263" t="s">
        <v>171</v>
      </c>
      <c r="C51" s="248" t="s">
        <v>96</v>
      </c>
      <c r="D51" s="272">
        <v>250</v>
      </c>
      <c r="E51" s="272">
        <v>250</v>
      </c>
      <c r="F51" s="256"/>
      <c r="G51" s="256"/>
      <c r="H51" s="256">
        <v>4.1479999999999998E-3</v>
      </c>
      <c r="I51" s="256">
        <v>2.0739999999999999E-3</v>
      </c>
      <c r="J51" s="260">
        <f>IF(Dermal_Exp[[#This Row],[Worker Type]]&lt;&gt;"",(Dermal_Exp[[#This Row],[High-End Exposure to Liquid]]+Dermal_Exp[[#This Row],[High-End Exposure to Solids]]),"Not Assessed")</f>
        <v>4.1479999999999998E-3</v>
      </c>
      <c r="K51" s="256">
        <f>IF(Dermal_Exp[[#This Row],[Worker Type]]&lt;&gt;"",(Dermal_Exp[[#This Row],[ Central Tendency Exposure to Liquids]]+Dermal_Exp[[#This Row],[Central Tendency  Exposure to Solids]]),"Not Assessed")</f>
        <v>2.0739999999999999E-3</v>
      </c>
      <c r="L51" s="259">
        <f>IFERROR(Dermal_Exp[[#This Row],[High-End AD (mg/kg-day)]]*IF(Dermal_Exp[[#This Row],[ED_High-End]]&gt;EFID,EFID,Dermal_Exp[[#This Row],[ED_High-End]])/ID,"Not Assessed")</f>
        <v>3.0418666666666662E-3</v>
      </c>
      <c r="M51" s="259">
        <f>IFERROR(Dermal_Exp[[#This Row],[Central Tendency AD (mg/kg-day)]]*IF(Dermal_Exp[[#This Row],[ED_Central Tendency]]&gt;EFID,EFID,Dermal_Exp[[#This Row],[ED_Central Tendency]])/ID,"Not Assessed")</f>
        <v>1.5209333333333331E-3</v>
      </c>
      <c r="N51" s="256">
        <f>IFERROR(Dermal_Exp[[#This Row],[High-End AD (mg/kg-day)]]*Dermal_Exp[[#This Row],[ED_High-End]]*WY_high/(365*WY_high),"Not Assessed")</f>
        <v>2.8410958904109586E-3</v>
      </c>
      <c r="O51" s="256">
        <f>IFERROR(Dermal_Exp[[#This Row],[Central Tendency AD (mg/kg-day)]]*Dermal_Exp[[#This Row],[ED_Central Tendency]]*WY_mid/(365*WY_mid),"Not Assessed")</f>
        <v>1.4205479452054793E-3</v>
      </c>
    </row>
    <row r="52" spans="1:15" ht="30" x14ac:dyDescent="0.2">
      <c r="A52" s="267">
        <v>6</v>
      </c>
      <c r="B52" s="263" t="s">
        <v>171</v>
      </c>
      <c r="C52" s="248" t="s">
        <v>69</v>
      </c>
      <c r="D52" s="272">
        <v>250</v>
      </c>
      <c r="E52" s="272">
        <v>250</v>
      </c>
      <c r="F52" s="256"/>
      <c r="G52" s="256"/>
      <c r="H52" s="249">
        <v>1.12885E-3</v>
      </c>
      <c r="I52" s="249">
        <v>1.12885E-3</v>
      </c>
      <c r="J52" s="260">
        <f>IF(Dermal_Exp[[#This Row],[Worker Type]]&lt;&gt;"",(Dermal_Exp[[#This Row],[High-End Exposure to Liquid]]+Dermal_Exp[[#This Row],[High-End Exposure to Solids]]),"Not Assessed")</f>
        <v>1.12885E-3</v>
      </c>
      <c r="K52" s="256">
        <f>IF(Dermal_Exp[[#This Row],[Worker Type]]&lt;&gt;"",(Dermal_Exp[[#This Row],[ Central Tendency Exposure to Liquids]]+Dermal_Exp[[#This Row],[Central Tendency  Exposure to Solids]]),"Not Assessed")</f>
        <v>1.12885E-3</v>
      </c>
      <c r="L52" s="259">
        <f>IFERROR(Dermal_Exp[[#This Row],[High-End AD (mg/kg-day)]]*IF(Dermal_Exp[[#This Row],[ED_High-End]]&gt;EFID,EFID,Dermal_Exp[[#This Row],[ED_High-End]])/ID,"Not Assessed")</f>
        <v>8.2782333333333337E-4</v>
      </c>
      <c r="M52" s="259">
        <f>IFERROR(Dermal_Exp[[#This Row],[Central Tendency AD (mg/kg-day)]]*IF(Dermal_Exp[[#This Row],[ED_Central Tendency]]&gt;EFID,EFID,Dermal_Exp[[#This Row],[ED_Central Tendency]])/ID,"Not Assessed")</f>
        <v>8.2782333333333337E-4</v>
      </c>
      <c r="N52" s="256">
        <f>IFERROR(Dermal_Exp[[#This Row],[High-End AD (mg/kg-day)]]*Dermal_Exp[[#This Row],[ED_High-End]]*WY_high/(365*WY_high),"Not Assessed")</f>
        <v>7.7318493150684941E-4</v>
      </c>
      <c r="O52" s="256">
        <f>IFERROR(Dermal_Exp[[#This Row],[Central Tendency AD (mg/kg-day)]]*Dermal_Exp[[#This Row],[ED_Central Tendency]]*WY_mid/(365*WY_mid),"Not Assessed")</f>
        <v>7.7318493150684941E-4</v>
      </c>
    </row>
    <row r="53" spans="1:15" ht="15" x14ac:dyDescent="0.2">
      <c r="A53" s="267">
        <v>6</v>
      </c>
      <c r="B53" s="263" t="s">
        <v>172</v>
      </c>
      <c r="C53" s="248" t="s">
        <v>52</v>
      </c>
      <c r="D53" s="272">
        <v>250</v>
      </c>
      <c r="E53" s="275">
        <v>223</v>
      </c>
      <c r="F53" s="256"/>
      <c r="G53" s="256"/>
      <c r="H53" s="256">
        <v>4.5129999999999997E-3</v>
      </c>
      <c r="I53" s="256">
        <v>2.2560000000000002E-3</v>
      </c>
      <c r="J53" s="260">
        <f>IF(Dermal_Exp[[#This Row],[Worker Type]]&lt;&gt;"",(Dermal_Exp[[#This Row],[High-End Exposure to Liquid]]+Dermal_Exp[[#This Row],[High-End Exposure to Solids]]),"Not Assessed")</f>
        <v>4.5129999999999997E-3</v>
      </c>
      <c r="K53" s="256">
        <f>IF(Dermal_Exp[[#This Row],[Worker Type]]&lt;&gt;"",(Dermal_Exp[[#This Row],[ Central Tendency Exposure to Liquids]]+Dermal_Exp[[#This Row],[Central Tendency  Exposure to Solids]]),"Not Assessed")</f>
        <v>2.2560000000000002E-3</v>
      </c>
      <c r="L53" s="259">
        <f>IFERROR(Dermal_Exp[[#This Row],[High-End AD (mg/kg-day)]]*IF(Dermal_Exp[[#This Row],[ED_High-End]]&gt;EFID,EFID,Dermal_Exp[[#This Row],[ED_High-End]])/ID,"Not Assessed")</f>
        <v>3.3095333333333326E-3</v>
      </c>
      <c r="M53" s="259">
        <f>IFERROR(Dermal_Exp[[#This Row],[Central Tendency AD (mg/kg-day)]]*IF(Dermal_Exp[[#This Row],[ED_Central Tendency]]&gt;EFID,EFID,Dermal_Exp[[#This Row],[ED_Central Tendency]])/ID,"Not Assessed")</f>
        <v>1.6544000000000001E-3</v>
      </c>
      <c r="N53" s="256">
        <f>IFERROR(Dermal_Exp[[#This Row],[High-End AD (mg/kg-day)]]*Dermal_Exp[[#This Row],[ED_High-End]]*WY_high/(365*WY_high),"Not Assessed")</f>
        <v>3.0910958904109588E-3</v>
      </c>
      <c r="O53" s="256">
        <f>IFERROR(Dermal_Exp[[#This Row],[Central Tendency AD (mg/kg-day)]]*Dermal_Exp[[#This Row],[ED_Central Tendency]]*WY_mid/(365*WY_mid),"Not Assessed")</f>
        <v>1.3783232876712331E-3</v>
      </c>
    </row>
    <row r="54" spans="1:15" ht="15" x14ac:dyDescent="0.2">
      <c r="A54" s="267">
        <v>6</v>
      </c>
      <c r="B54" s="263" t="s">
        <v>172</v>
      </c>
      <c r="C54" s="248" t="s">
        <v>96</v>
      </c>
      <c r="D54" s="272">
        <v>250</v>
      </c>
      <c r="E54" s="275">
        <v>223</v>
      </c>
      <c r="F54" s="256"/>
      <c r="G54" s="256"/>
      <c r="H54" s="256">
        <v>4.1479999999999998E-3</v>
      </c>
      <c r="I54" s="256">
        <v>2.0739999999999999E-3</v>
      </c>
      <c r="J54" s="260">
        <f>IF(Dermal_Exp[[#This Row],[Worker Type]]&lt;&gt;"",(Dermal_Exp[[#This Row],[High-End Exposure to Liquid]]+Dermal_Exp[[#This Row],[High-End Exposure to Solids]]),"Not Assessed")</f>
        <v>4.1479999999999998E-3</v>
      </c>
      <c r="K54" s="256">
        <f>IF(Dermal_Exp[[#This Row],[Worker Type]]&lt;&gt;"",(Dermal_Exp[[#This Row],[ Central Tendency Exposure to Liquids]]+Dermal_Exp[[#This Row],[Central Tendency  Exposure to Solids]]),"Not Assessed")</f>
        <v>2.0739999999999999E-3</v>
      </c>
      <c r="L54" s="259">
        <f>IFERROR(Dermal_Exp[[#This Row],[High-End AD (mg/kg-day)]]*IF(Dermal_Exp[[#This Row],[ED_High-End]]&gt;EFID,EFID,Dermal_Exp[[#This Row],[ED_High-End]])/ID,"Not Assessed")</f>
        <v>3.0418666666666662E-3</v>
      </c>
      <c r="M54" s="259">
        <f>IFERROR(Dermal_Exp[[#This Row],[Central Tendency AD (mg/kg-day)]]*IF(Dermal_Exp[[#This Row],[ED_Central Tendency]]&gt;EFID,EFID,Dermal_Exp[[#This Row],[ED_Central Tendency]])/ID,"Not Assessed")</f>
        <v>1.5209333333333331E-3</v>
      </c>
      <c r="N54" s="256">
        <f>IFERROR(Dermal_Exp[[#This Row],[High-End AD (mg/kg-day)]]*Dermal_Exp[[#This Row],[ED_High-End]]*WY_high/(365*WY_high),"Not Assessed")</f>
        <v>2.8410958904109586E-3</v>
      </c>
      <c r="O54" s="256">
        <f>IFERROR(Dermal_Exp[[#This Row],[Central Tendency AD (mg/kg-day)]]*Dermal_Exp[[#This Row],[ED_Central Tendency]]*WY_mid/(365*WY_mid),"Not Assessed")</f>
        <v>1.2671287671232876E-3</v>
      </c>
    </row>
    <row r="55" spans="1:15" ht="15.75" thickBot="1" x14ac:dyDescent="0.25">
      <c r="A55" s="268">
        <v>6</v>
      </c>
      <c r="B55" s="264" t="s">
        <v>172</v>
      </c>
      <c r="C55" s="248" t="s">
        <v>69</v>
      </c>
      <c r="D55" s="272">
        <v>250</v>
      </c>
      <c r="E55" s="275">
        <v>223</v>
      </c>
      <c r="F55" s="256"/>
      <c r="G55" s="256"/>
      <c r="H55" s="249">
        <v>1.12885E-3</v>
      </c>
      <c r="I55" s="249">
        <v>1.12885E-3</v>
      </c>
      <c r="J55" s="260">
        <f>IF(Dermal_Exp[[#This Row],[Worker Type]]&lt;&gt;"",(Dermal_Exp[[#This Row],[High-End Exposure to Liquid]]+Dermal_Exp[[#This Row],[High-End Exposure to Solids]]),"Not Assessed")</f>
        <v>1.12885E-3</v>
      </c>
      <c r="K55" s="256">
        <f>IF(Dermal_Exp[[#This Row],[Worker Type]]&lt;&gt;"",(Dermal_Exp[[#This Row],[ Central Tendency Exposure to Liquids]]+Dermal_Exp[[#This Row],[Central Tendency  Exposure to Solids]]),"Not Assessed")</f>
        <v>1.12885E-3</v>
      </c>
      <c r="L55" s="259">
        <f>IFERROR(Dermal_Exp[[#This Row],[High-End AD (mg/kg-day)]]*IF(Dermal_Exp[[#This Row],[ED_High-End]]&gt;EFID,EFID,Dermal_Exp[[#This Row],[ED_High-End]])/ID,"Not Assessed")</f>
        <v>8.2782333333333337E-4</v>
      </c>
      <c r="M55" s="259">
        <f>IFERROR(Dermal_Exp[[#This Row],[Central Tendency AD (mg/kg-day)]]*IF(Dermal_Exp[[#This Row],[ED_Central Tendency]]&gt;EFID,EFID,Dermal_Exp[[#This Row],[ED_Central Tendency]])/ID,"Not Assessed")</f>
        <v>8.2782333333333337E-4</v>
      </c>
      <c r="N55" s="256">
        <f>IFERROR(Dermal_Exp[[#This Row],[High-End AD (mg/kg-day)]]*Dermal_Exp[[#This Row],[ED_High-End]]*WY_high/(365*WY_high),"Not Assessed")</f>
        <v>7.7318493150684941E-4</v>
      </c>
      <c r="O55" s="256">
        <f>IFERROR(Dermal_Exp[[#This Row],[Central Tendency AD (mg/kg-day)]]*Dermal_Exp[[#This Row],[ED_Central Tendency]]*WY_mid/(365*WY_mid),"Not Assessed")</f>
        <v>6.8968095890410968E-4</v>
      </c>
    </row>
    <row r="58" spans="1:15" x14ac:dyDescent="0.2">
      <c r="H58" s="305"/>
      <c r="I58" s="305"/>
    </row>
    <row r="64" spans="1:15" x14ac:dyDescent="0.2">
      <c r="G64" s="303"/>
      <c r="H64" s="265"/>
      <c r="I64" s="265"/>
    </row>
    <row r="65" spans="8:9" x14ac:dyDescent="0.2">
      <c r="H65" s="265"/>
      <c r="I65" s="265"/>
    </row>
    <row r="66" spans="8:9" x14ac:dyDescent="0.2">
      <c r="H66" s="265"/>
      <c r="I66" s="265"/>
    </row>
  </sheetData>
  <sheetProtection sheet="1" objects="1" scenarios="1" formatCells="0" formatColumns="0" formatRows="0"/>
  <mergeCells count="8">
    <mergeCell ref="J1:K2"/>
    <mergeCell ref="L1:M2"/>
    <mergeCell ref="N1:O2"/>
    <mergeCell ref="D1:E2"/>
    <mergeCell ref="H1:I1"/>
    <mergeCell ref="H2:I2"/>
    <mergeCell ref="F1:G1"/>
    <mergeCell ref="F2:G2"/>
  </mergeCells>
  <phoneticPr fontId="2" type="noConversion"/>
  <conditionalFormatting sqref="D21:E55">
    <cfRule type="cellIs" dxfId="119" priority="136" operator="greaterThan">
      <formula>10000</formula>
    </cfRule>
    <cfRule type="cellIs" dxfId="118" priority="135" operator="between">
      <formula>10</formula>
      <formula>9999.999</formula>
    </cfRule>
    <cfRule type="cellIs" dxfId="117" priority="134" operator="between">
      <formula>0.1</formula>
      <formula>0.999</formula>
    </cfRule>
    <cfRule type="cellIs" dxfId="116" priority="133" operator="lessThan">
      <formula>0.1</formula>
    </cfRule>
    <cfRule type="cellIs" dxfId="115" priority="132" operator="between">
      <formula>1</formula>
      <formula>9.999</formula>
    </cfRule>
  </conditionalFormatting>
  <conditionalFormatting sqref="D4:G20 F22:G26 F28:G46 K7:O41 H4:I32 H46:J46 H49:J49 H52:J52 H55:J55 J7:J43 I39 I44:J45 I47:J48 I50:J51 I53:J54">
    <cfRule type="cellIs" dxfId="114" priority="270" operator="between">
      <formula>10</formula>
      <formula>9999.999</formula>
    </cfRule>
  </conditionalFormatting>
  <conditionalFormatting sqref="D4:G20 F22:G26 F28:G46">
    <cfRule type="cellIs" dxfId="113" priority="269" operator="between">
      <formula>0.1</formula>
      <formula>0.999</formula>
    </cfRule>
  </conditionalFormatting>
  <conditionalFormatting sqref="D4:G20 F22:G26">
    <cfRule type="cellIs" dxfId="112" priority="271" operator="greaterThan">
      <formula>10000</formula>
    </cfRule>
  </conditionalFormatting>
  <conditionalFormatting sqref="F33">
    <cfRule type="cellIs" dxfId="111" priority="99" operator="between">
      <formula>1</formula>
      <formula>9.999</formula>
    </cfRule>
    <cfRule type="cellIs" dxfId="110" priority="103" operator="between">
      <formula>10</formula>
      <formula>9999.999</formula>
    </cfRule>
    <cfRule type="cellIs" dxfId="109" priority="102" operator="greaterThan">
      <formula>10000</formula>
    </cfRule>
    <cfRule type="cellIs" dxfId="108" priority="101" operator="between">
      <formula>0.1</formula>
      <formula>0.999</formula>
    </cfRule>
    <cfRule type="cellIs" dxfId="107" priority="100" operator="lessThan">
      <formula>0.1</formula>
    </cfRule>
  </conditionalFormatting>
  <conditionalFormatting sqref="F28:G46 D4:G20 F22:G26">
    <cfRule type="cellIs" dxfId="106" priority="268" operator="lessThan">
      <formula>0.1</formula>
    </cfRule>
    <cfRule type="cellIs" dxfId="105" priority="267" operator="between">
      <formula>1</formula>
      <formula>9.999</formula>
    </cfRule>
  </conditionalFormatting>
  <conditionalFormatting sqref="F28:G46">
    <cfRule type="cellIs" dxfId="104" priority="38" operator="greaterThan">
      <formula>10000</formula>
    </cfRule>
  </conditionalFormatting>
  <conditionalFormatting sqref="F33:G33">
    <cfRule type="cellIs" dxfId="103" priority="39" operator="between">
      <formula>10</formula>
      <formula>9999.999</formula>
    </cfRule>
    <cfRule type="cellIs" dxfId="102" priority="37" operator="between">
      <formula>0.1</formula>
      <formula>0.999</formula>
    </cfRule>
    <cfRule type="cellIs" dxfId="101" priority="36" operator="lessThan">
      <formula>0.1</formula>
    </cfRule>
    <cfRule type="cellIs" dxfId="100" priority="35" operator="between">
      <formula>1</formula>
      <formula>9.999</formula>
    </cfRule>
  </conditionalFormatting>
  <conditionalFormatting sqref="F4:I20 J4:O6 H34:I41 I33:I34">
    <cfRule type="cellIs" dxfId="99" priority="275" operator="between">
      <formula>10</formula>
      <formula>9999.999</formula>
    </cfRule>
  </conditionalFormatting>
  <conditionalFormatting sqref="F42:I43">
    <cfRule type="cellIs" dxfId="98" priority="174" operator="between">
      <formula>10</formula>
      <formula>9999.999</formula>
    </cfRule>
    <cfRule type="cellIs" dxfId="97" priority="176" operator="between">
      <formula>0.1</formula>
      <formula>0.999</formula>
    </cfRule>
    <cfRule type="cellIs" dxfId="96" priority="173" operator="lessThanOrEqual">
      <formula>0.01</formula>
    </cfRule>
    <cfRule type="cellIs" dxfId="95" priority="167" operator="greaterThanOrEqual">
      <formula>10000</formula>
    </cfRule>
    <cfRule type="cellIs" dxfId="94" priority="175" operator="between">
      <formula>1</formula>
      <formula>9.999</formula>
    </cfRule>
  </conditionalFormatting>
  <conditionalFormatting sqref="H21">
    <cfRule type="cellIs" dxfId="93" priority="121" operator="between">
      <formula>0.1</formula>
      <formula>0.999</formula>
    </cfRule>
    <cfRule type="cellIs" dxfId="92" priority="123" operator="between">
      <formula>10</formula>
      <formula>9999.999</formula>
    </cfRule>
    <cfRule type="cellIs" dxfId="91" priority="122" operator="greaterThan">
      <formula>10000</formula>
    </cfRule>
    <cfRule type="cellIs" dxfId="90" priority="120" operator="lessThan">
      <formula>0.1</formula>
    </cfRule>
    <cfRule type="cellIs" dxfId="89" priority="119" operator="between">
      <formula>1</formula>
      <formula>9.999</formula>
    </cfRule>
    <cfRule type="cellIs" dxfId="88" priority="44" operator="between">
      <formula>10</formula>
      <formula>9999.999</formula>
    </cfRule>
  </conditionalFormatting>
  <conditionalFormatting sqref="H24">
    <cfRule type="cellIs" dxfId="87" priority="117" operator="greaterThan">
      <formula>10000</formula>
    </cfRule>
    <cfRule type="cellIs" dxfId="86" priority="116" operator="between">
      <formula>0.1</formula>
      <formula>0.999</formula>
    </cfRule>
    <cfRule type="cellIs" dxfId="85" priority="115" operator="lessThan">
      <formula>0.1</formula>
    </cfRule>
    <cfRule type="cellIs" dxfId="84" priority="114" operator="between">
      <formula>1</formula>
      <formula>9.999</formula>
    </cfRule>
    <cfRule type="cellIs" dxfId="83" priority="118" operator="between">
      <formula>10</formula>
      <formula>9999.999</formula>
    </cfRule>
  </conditionalFormatting>
  <conditionalFormatting sqref="H27">
    <cfRule type="cellIs" dxfId="82" priority="113" operator="between">
      <formula>10</formula>
      <formula>9999.999</formula>
    </cfRule>
    <cfRule type="cellIs" dxfId="81" priority="109" operator="between">
      <formula>1</formula>
      <formula>9.999</formula>
    </cfRule>
    <cfRule type="cellIs" dxfId="80" priority="112" operator="greaterThan">
      <formula>10000</formula>
    </cfRule>
    <cfRule type="cellIs" dxfId="79" priority="110" operator="lessThan">
      <formula>0.1</formula>
    </cfRule>
    <cfRule type="cellIs" dxfId="78" priority="111" operator="between">
      <formula>0.1</formula>
      <formula>0.999</formula>
    </cfRule>
  </conditionalFormatting>
  <conditionalFormatting sqref="H30">
    <cfRule type="cellIs" dxfId="77" priority="108" operator="between">
      <formula>10</formula>
      <formula>9999.999</formula>
    </cfRule>
    <cfRule type="cellIs" dxfId="76" priority="106" operator="between">
      <formula>0.1</formula>
      <formula>0.999</formula>
    </cfRule>
    <cfRule type="cellIs" dxfId="75" priority="105" operator="lessThan">
      <formula>0.1</formula>
    </cfRule>
    <cfRule type="cellIs" dxfId="74" priority="104" operator="between">
      <formula>1</formula>
      <formula>9.999</formula>
    </cfRule>
    <cfRule type="cellIs" dxfId="73" priority="107" operator="greaterThan">
      <formula>10000</formula>
    </cfRule>
  </conditionalFormatting>
  <conditionalFormatting sqref="H36">
    <cfRule type="cellIs" dxfId="72" priority="96" operator="between">
      <formula>0.1</formula>
      <formula>0.999</formula>
    </cfRule>
    <cfRule type="cellIs" dxfId="71" priority="97" operator="greaterThan">
      <formula>10000</formula>
    </cfRule>
    <cfRule type="cellIs" dxfId="70" priority="98" operator="between">
      <formula>10</formula>
      <formula>9999.999</formula>
    </cfRule>
    <cfRule type="cellIs" dxfId="69" priority="94" operator="between">
      <formula>1</formula>
      <formula>9.999</formula>
    </cfRule>
    <cfRule type="cellIs" dxfId="68" priority="95" operator="lessThan">
      <formula>0.1</formula>
    </cfRule>
  </conditionalFormatting>
  <conditionalFormatting sqref="H41">
    <cfRule type="cellIs" dxfId="67" priority="89" operator="between">
      <formula>1</formula>
      <formula>9.999</formula>
    </cfRule>
    <cfRule type="cellIs" dxfId="66" priority="90" operator="lessThan">
      <formula>0.1</formula>
    </cfRule>
    <cfRule type="cellIs" dxfId="65" priority="91" operator="between">
      <formula>0.1</formula>
      <formula>0.999</formula>
    </cfRule>
    <cfRule type="cellIs" dxfId="64" priority="92" operator="greaterThan">
      <formula>10000</formula>
    </cfRule>
    <cfRule type="cellIs" dxfId="63" priority="93" operator="between">
      <formula>10</formula>
      <formula>9999.999</formula>
    </cfRule>
  </conditionalFormatting>
  <conditionalFormatting sqref="H44:H45 H47:H48">
    <cfRule type="cellIs" dxfId="62" priority="85" operator="lessThanOrEqual">
      <formula>0.01</formula>
    </cfRule>
    <cfRule type="cellIs" dxfId="61" priority="88" operator="between">
      <formula>0.1</formula>
      <formula>0.999</formula>
    </cfRule>
    <cfRule type="cellIs" dxfId="60" priority="87" operator="between">
      <formula>1</formula>
      <formula>9.999</formula>
    </cfRule>
    <cfRule type="cellIs" dxfId="59" priority="84" operator="between">
      <formula>10</formula>
      <formula>9999.999</formula>
    </cfRule>
  </conditionalFormatting>
  <conditionalFormatting sqref="H50:H51">
    <cfRule type="cellIs" dxfId="58" priority="78" operator="between">
      <formula>0.1</formula>
      <formula>0.999</formula>
    </cfRule>
    <cfRule type="cellIs" dxfId="57" priority="77" operator="between">
      <formula>1</formula>
      <formula>9.999</formula>
    </cfRule>
    <cfRule type="cellIs" dxfId="56" priority="75" operator="lessThanOrEqual">
      <formula>0.01</formula>
    </cfRule>
    <cfRule type="cellIs" dxfId="55" priority="74" operator="between">
      <formula>10</formula>
      <formula>9999.999</formula>
    </cfRule>
  </conditionalFormatting>
  <conditionalFormatting sqref="H53:H54">
    <cfRule type="cellIs" dxfId="54" priority="67" operator="between">
      <formula>1</formula>
      <formula>9.999</formula>
    </cfRule>
    <cfRule type="cellIs" dxfId="53" priority="68" operator="between">
      <formula>0.1</formula>
      <formula>0.999</formula>
    </cfRule>
    <cfRule type="cellIs" dxfId="52" priority="65" operator="lessThanOrEqual">
      <formula>0.01</formula>
    </cfRule>
    <cfRule type="cellIs" dxfId="51" priority="64" operator="between">
      <formula>10</formula>
      <formula>9999.999</formula>
    </cfRule>
  </conditionalFormatting>
  <conditionalFormatting sqref="H4:I30">
    <cfRule type="cellIs" dxfId="50" priority="125" operator="lessThan">
      <formula>0.1</formula>
    </cfRule>
    <cfRule type="cellIs" dxfId="49" priority="124" operator="between">
      <formula>1</formula>
      <formula>9.999</formula>
    </cfRule>
    <cfRule type="cellIs" dxfId="48" priority="127" operator="greaterThan">
      <formula>10000</formula>
    </cfRule>
    <cfRule type="cellIs" dxfId="47" priority="126" operator="between">
      <formula>0.1</formula>
      <formula>0.999</formula>
    </cfRule>
  </conditionalFormatting>
  <conditionalFormatting sqref="H24:I24">
    <cfRule type="cellIs" dxfId="46" priority="42" operator="between">
      <formula>10</formula>
      <formula>9999.999</formula>
    </cfRule>
  </conditionalFormatting>
  <conditionalFormatting sqref="H27:I27">
    <cfRule type="cellIs" dxfId="45" priority="41" operator="between">
      <formula>10</formula>
      <formula>9999.999</formula>
    </cfRule>
  </conditionalFormatting>
  <conditionalFormatting sqref="H30:I30">
    <cfRule type="cellIs" dxfId="44" priority="40" operator="between">
      <formula>10</formula>
      <formula>9999.999</formula>
    </cfRule>
  </conditionalFormatting>
  <conditionalFormatting sqref="H36:I36">
    <cfRule type="cellIs" dxfId="43" priority="32" operator="between">
      <formula>0.1</formula>
      <formula>0.999</formula>
    </cfRule>
    <cfRule type="cellIs" dxfId="42" priority="30" operator="between">
      <formula>1</formula>
      <formula>9.999</formula>
    </cfRule>
    <cfRule type="cellIs" dxfId="41" priority="34" operator="between">
      <formula>10</formula>
      <formula>9999.999</formula>
    </cfRule>
    <cfRule type="cellIs" dxfId="40" priority="33" operator="greaterThan">
      <formula>10000</formula>
    </cfRule>
    <cfRule type="cellIs" dxfId="39" priority="31" operator="lessThan">
      <formula>0.1</formula>
    </cfRule>
  </conditionalFormatting>
  <conditionalFormatting sqref="H41:I41">
    <cfRule type="cellIs" dxfId="38" priority="29" operator="between">
      <formula>10</formula>
      <formula>9999.999</formula>
    </cfRule>
    <cfRule type="cellIs" dxfId="37" priority="26" operator="lessThan">
      <formula>0.1</formula>
    </cfRule>
    <cfRule type="cellIs" dxfId="36" priority="27" operator="between">
      <formula>0.1</formula>
      <formula>0.999</formula>
    </cfRule>
    <cfRule type="cellIs" dxfId="35" priority="28" operator="greaterThan">
      <formula>10000</formula>
    </cfRule>
    <cfRule type="cellIs" dxfId="34" priority="25" operator="between">
      <formula>1</formula>
      <formula>9.999</formula>
    </cfRule>
  </conditionalFormatting>
  <conditionalFormatting sqref="H46:I46">
    <cfRule type="cellIs" dxfId="33" priority="21" operator="between">
      <formula>0.1</formula>
      <formula>0.999</formula>
    </cfRule>
    <cfRule type="cellIs" dxfId="32" priority="20" operator="lessThan">
      <formula>0.1</formula>
    </cfRule>
    <cfRule type="cellIs" dxfId="31" priority="19" operator="between">
      <formula>1</formula>
      <formula>9.999</formula>
    </cfRule>
    <cfRule type="cellIs" dxfId="30" priority="24" operator="between">
      <formula>10</formula>
      <formula>9999.999</formula>
    </cfRule>
    <cfRule type="cellIs" dxfId="29" priority="23" operator="greaterThanOrEqual">
      <formula>10000</formula>
    </cfRule>
    <cfRule type="cellIs" dxfId="28" priority="22" operator="greaterThan">
      <formula>10000</formula>
    </cfRule>
  </conditionalFormatting>
  <conditionalFormatting sqref="H49:I49">
    <cfRule type="cellIs" dxfId="27" priority="17" operator="greaterThanOrEqual">
      <formula>10000</formula>
    </cfRule>
    <cfRule type="cellIs" dxfId="26" priority="14" operator="lessThan">
      <formula>0.1</formula>
    </cfRule>
    <cfRule type="cellIs" dxfId="25" priority="15" operator="between">
      <formula>0.1</formula>
      <formula>0.999</formula>
    </cfRule>
    <cfRule type="cellIs" dxfId="24" priority="18" operator="between">
      <formula>10</formula>
      <formula>9999.999</formula>
    </cfRule>
    <cfRule type="cellIs" dxfId="23" priority="13" operator="between">
      <formula>1</formula>
      <formula>9.999</formula>
    </cfRule>
    <cfRule type="cellIs" dxfId="22" priority="16" operator="greaterThan">
      <formula>10000</formula>
    </cfRule>
  </conditionalFormatting>
  <conditionalFormatting sqref="H52:I52">
    <cfRule type="cellIs" dxfId="21" priority="12" operator="between">
      <formula>10</formula>
      <formula>9999.999</formula>
    </cfRule>
    <cfRule type="cellIs" dxfId="20" priority="11" operator="greaterThanOrEqual">
      <formula>10000</formula>
    </cfRule>
    <cfRule type="cellIs" dxfId="19" priority="10" operator="greaterThan">
      <formula>10000</formula>
    </cfRule>
    <cfRule type="cellIs" dxfId="18" priority="9" operator="between">
      <formula>0.1</formula>
      <formula>0.999</formula>
    </cfRule>
    <cfRule type="cellIs" dxfId="17" priority="8" operator="lessThan">
      <formula>0.1</formula>
    </cfRule>
    <cfRule type="cellIs" dxfId="16" priority="7" operator="between">
      <formula>1</formula>
      <formula>9.999</formula>
    </cfRule>
  </conditionalFormatting>
  <conditionalFormatting sqref="H55:I55">
    <cfRule type="cellIs" dxfId="15" priority="1" operator="between">
      <formula>1</formula>
      <formula>9.999</formula>
    </cfRule>
    <cfRule type="cellIs" dxfId="14" priority="2" operator="lessThan">
      <formula>0.1</formula>
    </cfRule>
    <cfRule type="cellIs" dxfId="13" priority="3" operator="between">
      <formula>0.1</formula>
      <formula>0.999</formula>
    </cfRule>
    <cfRule type="cellIs" dxfId="12" priority="4" operator="greaterThan">
      <formula>10000</formula>
    </cfRule>
    <cfRule type="cellIs" dxfId="11" priority="5" operator="greaterThanOrEqual">
      <formula>10000</formula>
    </cfRule>
    <cfRule type="cellIs" dxfId="10" priority="6" operator="between">
      <formula>10</formula>
      <formula>9999.999</formula>
    </cfRule>
  </conditionalFormatting>
  <conditionalFormatting sqref="I21">
    <cfRule type="cellIs" dxfId="9" priority="43" operator="between">
      <formula>10</formula>
      <formula>9999.999</formula>
    </cfRule>
  </conditionalFormatting>
  <conditionalFormatting sqref="J4:O6 F4:G20 H4:I32 K7:O41 J7:J43 F25:G26 F31:G33 I33:I34 H34:I41 F37:G38">
    <cfRule type="cellIs" dxfId="8" priority="243" operator="greaterThanOrEqual">
      <formula>10000</formula>
    </cfRule>
  </conditionalFormatting>
  <conditionalFormatting sqref="J4:O6 F4:G20 H4:I32 L5:M55 I33:I34 H34:I41 K7:O41 J7:J43 F25:G26 F31:G33 F37:G38 I44:J45 H46:J46 I47:J48 H49:J49 I50:J51 H52:J52 I53:J54 H55:J55">
    <cfRule type="cellIs" dxfId="7" priority="276" operator="between">
      <formula>1</formula>
      <formula>9.999</formula>
    </cfRule>
  </conditionalFormatting>
  <conditionalFormatting sqref="J4:O6 F4:G20 H4:I32 L5:M55 K7:O41 J7:J43 F25:G26 F31:G33 I33:I34 H34:I41 F37:G38 I44:J45 H46:J46 I47:J48 H49:J49 I50:J51 H52:J52 I53:J54 H55:J55">
    <cfRule type="cellIs" dxfId="6" priority="272" operator="lessThanOrEqual">
      <formula>0.01</formula>
    </cfRule>
    <cfRule type="cellIs" dxfId="5" priority="277" operator="between">
      <formula>0.1</formula>
      <formula>0.999</formula>
    </cfRule>
  </conditionalFormatting>
  <conditionalFormatting sqref="L4:M55 H44:J45 J46 H47:J48 J49 H50:J51 J52 H53:J54 J55">
    <cfRule type="cellIs" dxfId="4" priority="53" operator="greaterThanOrEqual">
      <formula>10000</formula>
    </cfRule>
  </conditionalFormatting>
  <conditionalFormatting sqref="L4:M55">
    <cfRule type="cellIs" dxfId="3" priority="261" operator="between">
      <formula>10</formula>
      <formula>9999.999</formula>
    </cfRule>
    <cfRule type="cellIs" dxfId="2" priority="258" operator="lessThan">
      <formula>0.1</formula>
    </cfRule>
    <cfRule type="cellIs" dxfId="1" priority="259" operator="between">
      <formula>0.1</formula>
      <formula>0.999</formula>
    </cfRule>
    <cfRule type="cellIs" dxfId="0" priority="260" operator="between">
      <formula>1</formula>
      <formula>9.999</formula>
    </cfRule>
  </conditionalFormatting>
  <pageMargins left="0.7" right="0.7" top="0.75" bottom="0.75" header="0.3" footer="0.3"/>
  <pageSetup orientation="portrait" horizontalDpi="1200" verticalDpi="12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9850F-DA4A-4D3D-97A6-3832AB231949}">
  <sheetPr codeName="Sheet4">
    <tabColor theme="1"/>
  </sheetPr>
  <dimension ref="B2:Q29"/>
  <sheetViews>
    <sheetView workbookViewId="0"/>
  </sheetViews>
  <sheetFormatPr defaultColWidth="8.85546875" defaultRowHeight="12.75" x14ac:dyDescent="0.2"/>
  <cols>
    <col min="1" max="1" width="3.5703125" style="4" customWidth="1"/>
    <col min="2" max="2" width="24.42578125" style="4" customWidth="1"/>
    <col min="3" max="3" width="21" style="4" bestFit="1" customWidth="1"/>
    <col min="4" max="5" width="18.85546875" style="4" customWidth="1"/>
    <col min="6" max="6" width="13.85546875" style="4" customWidth="1"/>
    <col min="7" max="7" width="11.140625" style="4" customWidth="1"/>
    <col min="8" max="8" width="15.85546875" style="4" bestFit="1" customWidth="1"/>
    <col min="9" max="9" width="14.140625" style="4" customWidth="1"/>
    <col min="10" max="10" width="13.85546875" style="4" customWidth="1"/>
    <col min="11" max="11" width="15" style="4" customWidth="1"/>
    <col min="12" max="12" width="17.140625" style="4" customWidth="1"/>
    <col min="13" max="13" width="11.140625" style="4" customWidth="1"/>
    <col min="14" max="14" width="20.42578125" style="4" bestFit="1" customWidth="1"/>
    <col min="15" max="15" width="14.5703125" style="4" bestFit="1" customWidth="1"/>
    <col min="16" max="16" width="22.5703125" style="4" bestFit="1" customWidth="1"/>
    <col min="17" max="17" width="23.85546875" style="4" customWidth="1"/>
    <col min="18" max="18" width="18" style="4" customWidth="1"/>
    <col min="19" max="19" width="20.85546875" style="4" bestFit="1" customWidth="1"/>
    <col min="20" max="20" width="14.85546875" style="4" customWidth="1"/>
    <col min="21" max="21" width="6.5703125" style="4" customWidth="1"/>
    <col min="22" max="16384" width="8.85546875" style="4"/>
  </cols>
  <sheetData>
    <row r="2" spans="2:16" ht="15.75" x14ac:dyDescent="0.25">
      <c r="B2" s="184" t="s">
        <v>192</v>
      </c>
    </row>
    <row r="3" spans="2:16" x14ac:dyDescent="0.2">
      <c r="L3" s="301"/>
    </row>
    <row r="4" spans="2:16" ht="30" customHeight="1" x14ac:dyDescent="0.2">
      <c r="B4" s="91" t="s">
        <v>193</v>
      </c>
      <c r="C4" s="92"/>
      <c r="D4" s="92"/>
      <c r="E4" s="92"/>
      <c r="F4" s="530" t="s">
        <v>194</v>
      </c>
      <c r="G4" s="530"/>
      <c r="H4" s="530" t="s">
        <v>195</v>
      </c>
      <c r="I4" s="530"/>
      <c r="J4" s="530" t="s">
        <v>196</v>
      </c>
      <c r="K4" s="531"/>
      <c r="N4" s="529" t="s">
        <v>197</v>
      </c>
      <c r="O4" s="530"/>
      <c r="P4" s="531"/>
    </row>
    <row r="5" spans="2:16" ht="25.5" x14ac:dyDescent="0.2">
      <c r="B5" s="93" t="s">
        <v>129</v>
      </c>
      <c r="C5" s="94" t="s">
        <v>107</v>
      </c>
      <c r="D5" s="94" t="s">
        <v>108</v>
      </c>
      <c r="E5" s="94" t="s">
        <v>198</v>
      </c>
      <c r="F5" s="95" t="s">
        <v>199</v>
      </c>
      <c r="G5" s="95" t="s">
        <v>200</v>
      </c>
      <c r="H5" s="95" t="s">
        <v>201</v>
      </c>
      <c r="I5" s="95" t="s">
        <v>202</v>
      </c>
      <c r="J5" s="95" t="s">
        <v>203</v>
      </c>
      <c r="K5" s="95" t="s">
        <v>204</v>
      </c>
      <c r="N5" s="96" t="s">
        <v>205</v>
      </c>
      <c r="O5" s="97" t="s">
        <v>206</v>
      </c>
      <c r="P5" s="98" t="s">
        <v>377</v>
      </c>
    </row>
    <row r="6" spans="2:16" x14ac:dyDescent="0.2">
      <c r="B6" s="99" t="s">
        <v>207</v>
      </c>
      <c r="C6" s="100" t="s">
        <v>208</v>
      </c>
      <c r="D6" s="101" t="s">
        <v>191</v>
      </c>
      <c r="E6" s="100" t="s">
        <v>208</v>
      </c>
      <c r="F6" s="102"/>
      <c r="G6" s="103"/>
      <c r="H6" s="102"/>
      <c r="I6" s="104"/>
      <c r="J6" s="105"/>
      <c r="K6" s="106"/>
      <c r="N6" s="107"/>
      <c r="O6" s="4" t="s">
        <v>209</v>
      </c>
      <c r="P6" s="108">
        <f>0.000001</f>
        <v>9.9999999999999995E-7</v>
      </c>
    </row>
    <row r="7" spans="2:16" x14ac:dyDescent="0.2">
      <c r="B7" s="26"/>
      <c r="C7" s="24"/>
      <c r="D7" s="109"/>
      <c r="E7" s="24"/>
      <c r="F7" s="30"/>
      <c r="G7" s="67"/>
      <c r="H7" s="30"/>
      <c r="I7" s="67"/>
      <c r="J7" s="110"/>
      <c r="K7" s="111"/>
      <c r="N7" s="107"/>
      <c r="O7" s="4" t="s">
        <v>210</v>
      </c>
      <c r="P7" s="108">
        <f>0.00001</f>
        <v>1.0000000000000001E-5</v>
      </c>
    </row>
    <row r="8" spans="2:16" x14ac:dyDescent="0.2">
      <c r="M8" s="302"/>
      <c r="N8" s="107" t="s">
        <v>211</v>
      </c>
      <c r="O8" s="4" t="s">
        <v>212</v>
      </c>
      <c r="P8" s="108">
        <f>0.0001</f>
        <v>1E-4</v>
      </c>
    </row>
    <row r="9" spans="2:16" ht="15" customHeight="1" x14ac:dyDescent="0.2">
      <c r="F9" s="381"/>
      <c r="G9" s="532" t="s">
        <v>53</v>
      </c>
      <c r="H9" s="532"/>
      <c r="I9" s="112" t="s">
        <v>46</v>
      </c>
      <c r="J9" s="112"/>
      <c r="K9" s="112"/>
      <c r="M9" s="302"/>
      <c r="N9" s="107"/>
      <c r="O9" s="4" t="s">
        <v>213</v>
      </c>
      <c r="P9" s="113"/>
    </row>
    <row r="10" spans="2:16" ht="15" customHeight="1" x14ac:dyDescent="0.2">
      <c r="B10" s="91" t="s">
        <v>214</v>
      </c>
      <c r="C10" s="526" t="s">
        <v>107</v>
      </c>
      <c r="D10" s="526"/>
      <c r="E10" s="526"/>
      <c r="F10" s="114"/>
      <c r="G10" s="527" t="s">
        <v>215</v>
      </c>
      <c r="H10" s="527"/>
      <c r="I10" s="527"/>
      <c r="J10" s="527"/>
      <c r="K10" s="527" t="s">
        <v>378</v>
      </c>
      <c r="L10" s="533"/>
      <c r="M10" s="115"/>
      <c r="N10" s="107"/>
      <c r="O10" s="4" t="s">
        <v>216</v>
      </c>
      <c r="P10" s="113"/>
    </row>
    <row r="11" spans="2:16" ht="30.75" customHeight="1" x14ac:dyDescent="0.2">
      <c r="B11" s="94" t="s">
        <v>11</v>
      </c>
      <c r="C11" s="94" t="s">
        <v>217</v>
      </c>
      <c r="D11" s="94" t="s">
        <v>218</v>
      </c>
      <c r="E11" s="94" t="s">
        <v>108</v>
      </c>
      <c r="F11" s="94" t="s">
        <v>198</v>
      </c>
      <c r="G11" s="95" t="s">
        <v>219</v>
      </c>
      <c r="H11" s="95" t="s">
        <v>220</v>
      </c>
      <c r="I11" s="95" t="s">
        <v>221</v>
      </c>
      <c r="J11" s="95" t="s">
        <v>222</v>
      </c>
      <c r="K11" s="95" t="s">
        <v>223</v>
      </c>
      <c r="L11" s="95" t="s">
        <v>224</v>
      </c>
      <c r="M11" s="115"/>
      <c r="N11" s="107"/>
      <c r="O11" s="4" t="s">
        <v>225</v>
      </c>
      <c r="P11" s="113"/>
    </row>
    <row r="12" spans="2:16" ht="25.5" x14ac:dyDescent="0.2">
      <c r="B12" s="17" t="s">
        <v>114</v>
      </c>
      <c r="C12" s="116" t="s">
        <v>226</v>
      </c>
      <c r="D12" s="116"/>
      <c r="E12" s="116"/>
      <c r="F12" s="116" t="s">
        <v>83</v>
      </c>
      <c r="G12" s="116"/>
      <c r="H12" s="116"/>
      <c r="I12" s="116">
        <v>2.4</v>
      </c>
      <c r="J12" s="116">
        <v>30</v>
      </c>
      <c r="K12" s="116" t="s">
        <v>227</v>
      </c>
      <c r="L12" s="117" t="s">
        <v>227</v>
      </c>
      <c r="N12" s="118"/>
      <c r="O12" s="112" t="s">
        <v>228</v>
      </c>
      <c r="P12" s="119"/>
    </row>
    <row r="13" spans="2:16" ht="25.5" x14ac:dyDescent="0.2">
      <c r="B13" s="17" t="s">
        <v>115</v>
      </c>
      <c r="C13" s="116" t="s">
        <v>226</v>
      </c>
      <c r="D13" s="116"/>
      <c r="E13" s="116"/>
      <c r="F13" s="116" t="s">
        <v>88</v>
      </c>
      <c r="G13" s="116"/>
      <c r="H13" s="116"/>
      <c r="I13" s="116">
        <v>2.4</v>
      </c>
      <c r="J13" s="116">
        <v>30</v>
      </c>
      <c r="K13" s="116" t="s">
        <v>227</v>
      </c>
      <c r="L13" s="121" t="s">
        <v>227</v>
      </c>
    </row>
    <row r="14" spans="2:16" ht="25.5" x14ac:dyDescent="0.2">
      <c r="B14" s="120" t="s">
        <v>116</v>
      </c>
      <c r="C14" s="116" t="s">
        <v>226</v>
      </c>
      <c r="D14" s="116"/>
      <c r="E14" s="116"/>
      <c r="F14" s="116" t="s">
        <v>94</v>
      </c>
      <c r="G14" s="116"/>
      <c r="H14" s="116"/>
      <c r="I14" s="116">
        <v>2.4</v>
      </c>
      <c r="J14" s="116">
        <v>30</v>
      </c>
      <c r="K14" s="116" t="s">
        <v>227</v>
      </c>
      <c r="L14" s="121" t="s">
        <v>227</v>
      </c>
      <c r="N14" s="122" t="s">
        <v>229</v>
      </c>
    </row>
    <row r="15" spans="2:16" ht="15.75" x14ac:dyDescent="0.2">
      <c r="B15" s="123"/>
      <c r="C15" s="242"/>
      <c r="D15" s="242"/>
      <c r="E15" s="242"/>
      <c r="F15" s="124"/>
      <c r="G15" s="124"/>
      <c r="H15" s="124"/>
      <c r="I15" s="124"/>
      <c r="J15" s="124"/>
      <c r="K15" s="247"/>
      <c r="L15" s="252"/>
      <c r="N15" s="125">
        <f>24.45/O16</f>
        <v>7.4001210653753036E-2</v>
      </c>
      <c r="O15" s="126" t="s">
        <v>230</v>
      </c>
    </row>
    <row r="16" spans="2:16" ht="30" customHeight="1" x14ac:dyDescent="0.2">
      <c r="N16" s="125" t="s">
        <v>231</v>
      </c>
      <c r="O16" s="126">
        <v>330.4</v>
      </c>
      <c r="P16" s="4" t="s">
        <v>232</v>
      </c>
    </row>
    <row r="18" spans="16:17" ht="45" customHeight="1" x14ac:dyDescent="0.2"/>
    <row r="20" spans="16:17" ht="45" customHeight="1" x14ac:dyDescent="0.2"/>
    <row r="21" spans="16:17" ht="45" customHeight="1" x14ac:dyDescent="0.2"/>
    <row r="22" spans="16:17" ht="45" customHeight="1" x14ac:dyDescent="0.2"/>
    <row r="24" spans="16:17" ht="45" customHeight="1" x14ac:dyDescent="0.2"/>
    <row r="25" spans="16:17" x14ac:dyDescent="0.2">
      <c r="P25" s="528"/>
      <c r="Q25" s="528"/>
    </row>
    <row r="26" spans="16:17" x14ac:dyDescent="0.2">
      <c r="P26" s="30"/>
      <c r="Q26" s="74"/>
    </row>
    <row r="27" spans="16:17" x14ac:dyDescent="0.2">
      <c r="P27" s="21"/>
      <c r="Q27" s="127"/>
    </row>
    <row r="28" spans="16:17" x14ac:dyDescent="0.2">
      <c r="P28" s="21"/>
      <c r="Q28" s="127"/>
    </row>
    <row r="29" spans="16:17" ht="15" customHeight="1" x14ac:dyDescent="0.2">
      <c r="P29" s="109"/>
      <c r="Q29" s="19"/>
    </row>
  </sheetData>
  <sheetProtection sheet="1" objects="1" scenarios="1" formatCells="0" formatColumns="0" formatRows="0"/>
  <mergeCells count="9">
    <mergeCell ref="C10:E10"/>
    <mergeCell ref="G10:J10"/>
    <mergeCell ref="P25:Q25"/>
    <mergeCell ref="N4:P4"/>
    <mergeCell ref="G9:H9"/>
    <mergeCell ref="K10:L10"/>
    <mergeCell ref="F4:G4"/>
    <mergeCell ref="H4:I4"/>
    <mergeCell ref="J4:K4"/>
  </mergeCells>
  <phoneticPr fontId="2" type="noConversion"/>
  <pageMargins left="0.7" right="0.7" top="0.75" bottom="0.75" header="0.3" footer="0.3"/>
  <pageSetup orientation="portrait" horizontalDpi="1200" verticalDpi="1200"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2024-07-26T15:48:45+00:00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j747ac98061d40f0aa7bd47e1db5675d xmlns="4ffa91fb-a0ff-4ac5-b2db-65c790d184a4">
      <Terms xmlns="http://schemas.microsoft.com/office/infopath/2007/PartnerControls"/>
    </j747ac98061d40f0aa7bd47e1db5675d>
    <lcf76f155ced4ddcb4097134ff3c332f xmlns="ead8da0f-3542-4e50-96c8-f1f698624e86">
      <Terms xmlns="http://schemas.microsoft.com/office/infopath/2007/PartnerControls"/>
    </lcf76f155ced4ddcb4097134ff3c332f>
    <TaxCatchAll xmlns="4ffa91fb-a0ff-4ac5-b2db-65c790d184a4" xsi:nil="true"/>
    <e3f09c3df709400db2417a7161762d62 xmlns="4ffa91fb-a0ff-4ac5-b2db-65c790d184a4">
      <Terms xmlns="http://schemas.microsoft.com/office/infopath/2007/PartnerControls"/>
    </e3f09c3df709400db2417a7161762d62>
  </documentManagement>
</p:properties>
</file>

<file path=customXml/itemProps1.xml><?xml version="1.0" encoding="utf-8"?>
<ds:datastoreItem xmlns:ds="http://schemas.openxmlformats.org/officeDocument/2006/customXml" ds:itemID="{38BD428C-59BE-4D5A-8B2B-2D50E02C04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40D0A9-E6EF-47A8-B675-1408CF02D813}">
  <ds:schemaRefs>
    <ds:schemaRef ds:uri="Microsoft.SharePoint.Taxonomy.ContentTypeSync"/>
  </ds:schemaRefs>
</ds:datastoreItem>
</file>

<file path=customXml/itemProps3.xml><?xml version="1.0" encoding="utf-8"?>
<ds:datastoreItem xmlns:ds="http://schemas.openxmlformats.org/officeDocument/2006/customXml" ds:itemID="{119AFF66-FD16-4DA4-92C2-2713A3E9D9A0}">
  <ds:schemaRefs>
    <ds:schemaRef ds:uri="http://schemas.microsoft.com/sharepoint/v3/contenttype/forms"/>
  </ds:schemaRefs>
</ds:datastoreItem>
</file>

<file path=customXml/itemProps4.xml><?xml version="1.0" encoding="utf-8"?>
<ds:datastoreItem xmlns:ds="http://schemas.openxmlformats.org/officeDocument/2006/customXml" ds:itemID="{7FDC3EF2-44A5-4560-8AA8-0C2A6071BE2D}">
  <ds:schemaRefs>
    <ds:schemaRef ds:uri="http://www.w3.org/XML/1998/namespace"/>
    <ds:schemaRef ds:uri="http://purl.org/dc/terms/"/>
    <ds:schemaRef ds:uri="http://schemas.microsoft.com/office/infopath/2007/PartnerControls"/>
    <ds:schemaRef ds:uri="http://schemas.microsoft.com/sharepoint.v3"/>
    <ds:schemaRef ds:uri="http://purl.org/dc/elements/1.1/"/>
    <ds:schemaRef ds:uri="http://schemas.openxmlformats.org/package/2006/metadata/core-properties"/>
    <ds:schemaRef ds:uri="ead8da0f-3542-4e50-96c8-f1f698624e86"/>
    <ds:schemaRef ds:uri="fecc2597-e8fd-4279-ac06-bd7c891938be"/>
    <ds:schemaRef ds:uri="http://schemas.microsoft.com/office/2006/documentManagement/types"/>
    <ds:schemaRef ds:uri="4ffa91fb-a0ff-4ac5-b2db-65c790d184a4"/>
    <ds:schemaRef ds:uri="http://schemas.microsoft.com/office/2006/metadata/properties"/>
    <ds:schemaRef ds:uri="http://schemas.microsoft.com/sharepoint/v3/fields"/>
    <ds:schemaRef ds:uri="http://schemas.microsoft.com/sharepoint/v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22</vt:i4>
      </vt:variant>
    </vt:vector>
  </HeadingPairs>
  <TitlesOfParts>
    <vt:vector size="33" baseType="lpstr">
      <vt:lpstr>Cover Page</vt:lpstr>
      <vt:lpstr>Table of Contents</vt:lpstr>
      <vt:lpstr>Calculation Summary</vt:lpstr>
      <vt:lpstr>Dashboard</vt:lpstr>
      <vt:lpstr>RR</vt:lpstr>
      <vt:lpstr>Aggregate RR</vt:lpstr>
      <vt:lpstr>Inhalation Exposure</vt:lpstr>
      <vt:lpstr>Dermal Exposure</vt:lpstr>
      <vt:lpstr>Hazard Values</vt:lpstr>
      <vt:lpstr>List Values</vt:lpstr>
      <vt:lpstr>Exposure Factors</vt:lpstr>
      <vt:lpstr>AH1_cm2</vt:lpstr>
      <vt:lpstr>AH1_cm2_F</vt:lpstr>
      <vt:lpstr>AH2_cm2</vt:lpstr>
      <vt:lpstr>AH2_cm2_F</vt:lpstr>
      <vt:lpstr>AT</vt:lpstr>
      <vt:lpstr>AT_AC</vt:lpstr>
      <vt:lpstr>AT_ADC_high</vt:lpstr>
      <vt:lpstr>AT_ADC_mid</vt:lpstr>
      <vt:lpstr>AT_LADC</vt:lpstr>
      <vt:lpstr>BW_default</vt:lpstr>
      <vt:lpstr>BW_F</vt:lpstr>
      <vt:lpstr>ED_10</vt:lpstr>
      <vt:lpstr>ED_8</vt:lpstr>
      <vt:lpstr>EF</vt:lpstr>
      <vt:lpstr>EFID</vt:lpstr>
      <vt:lpstr>ID</vt:lpstr>
      <vt:lpstr>LT</vt:lpstr>
      <vt:lpstr>Mol_Vol</vt:lpstr>
      <vt:lpstr>MW</vt:lpstr>
      <vt:lpstr>WorkBreathRate</vt:lpstr>
      <vt:lpstr>WY_high</vt:lpstr>
      <vt:lpstr>WY_mid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Calculator for Occupational Exposures for Dicyclohexyl Phthalate (DCHP)</dc:title>
  <dc:subject/>
  <dc:creator/>
  <cp:keywords/>
  <dc:description/>
  <cp:lastModifiedBy/>
  <cp:revision>1</cp:revision>
  <dcterms:created xsi:type="dcterms:W3CDTF">2025-12-20T08:12:39Z</dcterms:created>
  <dcterms:modified xsi:type="dcterms:W3CDTF">2025-12-21T16:58:52Z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Document_x0020_Type">
    <vt:lpwstr/>
  </property>
  <property fmtid="{D5CDD505-2E9C-101B-9397-08002B2CF9AE}" pid="4" name="MediaServiceImageTags">
    <vt:lpwstr/>
  </property>
  <property fmtid="{D5CDD505-2E9C-101B-9397-08002B2CF9AE}" pid="5" name="ContentTypeId">
    <vt:lpwstr>0x010100D723352F79007E408EFF44D6142FFCE2</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